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HOME-OWHLF MF Forms\CY 2016 Current SF Forms\"/>
    </mc:Choice>
  </mc:AlternateContent>
  <bookViews>
    <workbookView xWindow="0" yWindow="0" windowWidth="15975" windowHeight="7890"/>
  </bookViews>
  <sheets>
    <sheet name="Application" sheetId="1" r:id="rId1"/>
    <sheet name="Income Limits, Mortgage, Amort" sheetId="2" r:id="rId2"/>
    <sheet name="Proforma" sheetId="3" r:id="rId3"/>
  </sheets>
  <externalReferences>
    <externalReference r:id="rId4"/>
  </externalReferences>
  <definedNames>
    <definedName name="_xlnm._FilterDatabase" localSheetId="0" hidden="1">Application!$L$828:$L$831</definedName>
    <definedName name="Allowance">Application!$E$979:$J$989</definedName>
    <definedName name="MSA">'[1]Scoring Data'!$L$74:$M$83</definedName>
    <definedName name="_xlnm.Print_Area" localSheetId="0">Application!$A$1:$J$1438</definedName>
    <definedName name="_xlnm.Print_Area" localSheetId="1">'Income Limits, Mortgage, Amort'!$C$34:$AC$561</definedName>
    <definedName name="_xlnm.Print_Area" localSheetId="2">Proforma!$A$1:$J$108</definedName>
    <definedName name="_xlnm.Print_Titles" localSheetId="1">'Income Limits, Mortgage, Amort'!$34:$40</definedName>
    <definedName name="Unit_Configuration">Application!$A$1023:$J$1027</definedName>
  </definedNames>
  <calcPr calcId="162913" concurrentCalc="0"/>
</workbook>
</file>

<file path=xl/calcChain.xml><?xml version="1.0" encoding="utf-8"?>
<calcChain xmlns="http://schemas.openxmlformats.org/spreadsheetml/2006/main">
  <c r="B66" i="2" l="1"/>
  <c r="G1404" i="1"/>
  <c r="I1403" i="1"/>
  <c r="J1403" i="1"/>
  <c r="J1405" i="1"/>
  <c r="D1410" i="1"/>
  <c r="I989" i="1"/>
  <c r="H989" i="1"/>
  <c r="G989" i="1"/>
  <c r="F989" i="1"/>
  <c r="E989" i="1"/>
  <c r="J1084" i="1"/>
  <c r="H913" i="1"/>
  <c r="D68" i="3"/>
  <c r="D108" i="3"/>
  <c r="D98" i="3"/>
  <c r="D88" i="3"/>
  <c r="D78" i="3"/>
  <c r="G937" i="1"/>
  <c r="F937" i="1"/>
  <c r="D937" i="1"/>
  <c r="F936" i="1"/>
  <c r="G936" i="1"/>
  <c r="I937" i="1"/>
  <c r="D936" i="1"/>
  <c r="F1027" i="1"/>
  <c r="F1026" i="1"/>
  <c r="F1025" i="1"/>
  <c r="F1024" i="1"/>
  <c r="F1023" i="1"/>
  <c r="E100" i="3"/>
  <c r="E1099" i="1"/>
  <c r="E1100" i="1"/>
  <c r="E1101" i="1"/>
  <c r="E1102" i="1"/>
  <c r="E1103" i="1"/>
  <c r="F1103" i="1"/>
  <c r="F1102" i="1"/>
  <c r="F1099" i="1"/>
  <c r="F1100" i="1"/>
  <c r="F1101" i="1"/>
  <c r="G1099" i="1"/>
  <c r="G1100" i="1"/>
  <c r="G1101" i="1"/>
  <c r="G1103" i="1"/>
  <c r="G1102" i="1"/>
  <c r="H100" i="3"/>
  <c r="H1026" i="1"/>
  <c r="H1025" i="1"/>
  <c r="H1024" i="1"/>
  <c r="H1023" i="1"/>
  <c r="A1086" i="1"/>
  <c r="A1090" i="1"/>
  <c r="A1089" i="1"/>
  <c r="A1088" i="1"/>
  <c r="A1087" i="1"/>
  <c r="A1078" i="1"/>
  <c r="A1077" i="1"/>
  <c r="A1076" i="1"/>
  <c r="A1075" i="1"/>
  <c r="A1074" i="1"/>
  <c r="C1093" i="1"/>
  <c r="C1081" i="1"/>
  <c r="B1078" i="1"/>
  <c r="C1078" i="1"/>
  <c r="C1103" i="1"/>
  <c r="F1042" i="1"/>
  <c r="J1002" i="1"/>
  <c r="H80" i="3"/>
  <c r="H70" i="3"/>
  <c r="H1027" i="1"/>
  <c r="B1090" i="1"/>
  <c r="E103" i="3"/>
  <c r="F102" i="3"/>
  <c r="H60" i="3"/>
  <c r="H90" i="3"/>
  <c r="C102" i="3"/>
  <c r="D102" i="3"/>
  <c r="E102" i="3"/>
  <c r="E106" i="3"/>
  <c r="F106" i="3"/>
  <c r="E105" i="3"/>
  <c r="F105" i="3"/>
  <c r="E104" i="3"/>
  <c r="F104" i="3"/>
  <c r="G102" i="3"/>
  <c r="C103" i="3"/>
  <c r="D103" i="3"/>
  <c r="F1028" i="1"/>
  <c r="A913" i="1"/>
  <c r="T38" i="2"/>
  <c r="S38" i="2"/>
  <c r="E944" i="1"/>
  <c r="C944" i="1"/>
  <c r="D945" i="1"/>
  <c r="I609" i="1"/>
  <c r="G770" i="1"/>
  <c r="I634" i="1"/>
  <c r="G771" i="1"/>
  <c r="I640" i="1"/>
  <c r="G772" i="1"/>
  <c r="I654" i="1"/>
  <c r="G773" i="1"/>
  <c r="I664" i="1"/>
  <c r="G774" i="1"/>
  <c r="I675" i="1"/>
  <c r="G775" i="1"/>
  <c r="I683" i="1"/>
  <c r="G776" i="1"/>
  <c r="I691" i="1"/>
  <c r="G777" i="1"/>
  <c r="I707" i="1"/>
  <c r="G778" i="1"/>
  <c r="I713" i="1"/>
  <c r="G779" i="1"/>
  <c r="I719" i="1"/>
  <c r="G780" i="1"/>
  <c r="I731" i="1"/>
  <c r="G782" i="1"/>
  <c r="I738" i="1"/>
  <c r="G783" i="1"/>
  <c r="I623" i="1"/>
  <c r="J1019" i="1"/>
  <c r="A1017" i="1"/>
  <c r="G51" i="3"/>
  <c r="F51" i="3"/>
  <c r="G50" i="3"/>
  <c r="G45" i="3"/>
  <c r="G46" i="3"/>
  <c r="F46" i="3"/>
  <c r="G47" i="3"/>
  <c r="G48" i="3"/>
  <c r="G49" i="3"/>
  <c r="F49" i="3"/>
  <c r="H42" i="3"/>
  <c r="G35" i="3"/>
  <c r="F35" i="3"/>
  <c r="G36" i="3"/>
  <c r="G37" i="3"/>
  <c r="F37" i="3"/>
  <c r="G38" i="3"/>
  <c r="G39" i="3"/>
  <c r="G28" i="3"/>
  <c r="F28" i="3"/>
  <c r="G29" i="3"/>
  <c r="F29" i="3"/>
  <c r="G30" i="3"/>
  <c r="F30" i="3"/>
  <c r="G23" i="3"/>
  <c r="F23" i="3"/>
  <c r="G22" i="3"/>
  <c r="F22" i="3"/>
  <c r="G20" i="3"/>
  <c r="F20" i="3"/>
  <c r="G12" i="3"/>
  <c r="F12" i="3"/>
  <c r="J1430" i="1"/>
  <c r="B50" i="3"/>
  <c r="C49" i="3"/>
  <c r="C46" i="3"/>
  <c r="C45" i="3"/>
  <c r="I810" i="1"/>
  <c r="J810" i="1"/>
  <c r="G765" i="1"/>
  <c r="I627" i="1"/>
  <c r="G767" i="1"/>
  <c r="G11" i="3"/>
  <c r="I723" i="1"/>
  <c r="G781" i="1"/>
  <c r="G784" i="1"/>
  <c r="G16" i="3"/>
  <c r="G786" i="1"/>
  <c r="G19" i="3"/>
  <c r="G788" i="1"/>
  <c r="I797" i="1"/>
  <c r="G21" i="3"/>
  <c r="F21" i="3"/>
  <c r="G807" i="1"/>
  <c r="G26" i="3"/>
  <c r="G808" i="1"/>
  <c r="G27" i="3"/>
  <c r="I821" i="1"/>
  <c r="G33" i="3"/>
  <c r="I829" i="1"/>
  <c r="G34" i="3"/>
  <c r="F34" i="3"/>
  <c r="I836" i="1"/>
  <c r="I842" i="1"/>
  <c r="G40" i="3"/>
  <c r="F40" i="3"/>
  <c r="I809" i="1"/>
  <c r="J809" i="1"/>
  <c r="B1028" i="1"/>
  <c r="D1398" i="1"/>
  <c r="D1399" i="1"/>
  <c r="D1400" i="1"/>
  <c r="D1401" i="1"/>
  <c r="D1412" i="1"/>
  <c r="J1408" i="1"/>
  <c r="G1422" i="1"/>
  <c r="X35" i="2"/>
  <c r="J35" i="2"/>
  <c r="C35" i="2"/>
  <c r="G913" i="1"/>
  <c r="E47" i="3"/>
  <c r="U37" i="2"/>
  <c r="U41" i="2"/>
  <c r="I939" i="1"/>
  <c r="D939" i="1"/>
  <c r="J479" i="1"/>
  <c r="J1023" i="1"/>
  <c r="J1024" i="1"/>
  <c r="J1025" i="1"/>
  <c r="J1026" i="1"/>
  <c r="J1027" i="1"/>
  <c r="J1037" i="1"/>
  <c r="J1039" i="1"/>
  <c r="J1040" i="1"/>
  <c r="J1041" i="1"/>
  <c r="B1087" i="1"/>
  <c r="C1087" i="1"/>
  <c r="D1100" i="1"/>
  <c r="B1086" i="1"/>
  <c r="C1086" i="1"/>
  <c r="D1099" i="1"/>
  <c r="B1042" i="1"/>
  <c r="B1075" i="1"/>
  <c r="C1075" i="1"/>
  <c r="C1100" i="1"/>
  <c r="B1089" i="1"/>
  <c r="C1089" i="1"/>
  <c r="D1102" i="1"/>
  <c r="B1088" i="1"/>
  <c r="C1088" i="1"/>
  <c r="D1101" i="1"/>
  <c r="J1006" i="1"/>
  <c r="J1005" i="1"/>
  <c r="J1004" i="1"/>
  <c r="J1003" i="1"/>
  <c r="A56" i="3"/>
  <c r="B1074" i="1"/>
  <c r="C1074" i="1"/>
  <c r="C1099" i="1"/>
  <c r="E90" i="3"/>
  <c r="E80" i="3"/>
  <c r="G84" i="3"/>
  <c r="E70" i="3"/>
  <c r="G74" i="3"/>
  <c r="E60" i="3"/>
  <c r="G64" i="3"/>
  <c r="B1101" i="1"/>
  <c r="D48" i="3"/>
  <c r="B39" i="3"/>
  <c r="B12" i="3"/>
  <c r="A4" i="3"/>
  <c r="C1106" i="1"/>
  <c r="I950" i="1"/>
  <c r="B1077" i="1"/>
  <c r="C1077" i="1"/>
  <c r="C1102" i="1"/>
  <c r="B1076" i="1"/>
  <c r="C1076" i="1"/>
  <c r="C1101" i="1"/>
  <c r="J1108" i="1"/>
  <c r="D947" i="1"/>
  <c r="D948" i="1"/>
  <c r="C948" i="1"/>
  <c r="G37" i="2"/>
  <c r="D1066" i="1"/>
  <c r="A915" i="1"/>
  <c r="D161" i="1"/>
  <c r="E36" i="2"/>
  <c r="F38" i="2"/>
  <c r="E38" i="2"/>
  <c r="N37" i="2"/>
  <c r="N41" i="2"/>
  <c r="L36" i="2"/>
  <c r="M38" i="2"/>
  <c r="L38" i="2"/>
  <c r="AA38" i="2"/>
  <c r="Z38" i="2"/>
  <c r="AB37" i="2"/>
  <c r="AB41" i="2"/>
  <c r="Z36" i="2"/>
  <c r="I743" i="1"/>
  <c r="H505" i="1"/>
  <c r="J478" i="1"/>
  <c r="E467" i="1"/>
  <c r="G398" i="1"/>
  <c r="J764" i="1"/>
  <c r="F761" i="1"/>
  <c r="B1100" i="1"/>
  <c r="I421" i="1"/>
  <c r="D57" i="1"/>
  <c r="D111" i="1"/>
  <c r="D214" i="1"/>
  <c r="D268" i="1"/>
  <c r="D322" i="1"/>
  <c r="D376" i="1"/>
  <c r="D430" i="1"/>
  <c r="D484" i="1"/>
  <c r="D537" i="1"/>
  <c r="G570" i="1"/>
  <c r="H570" i="1"/>
  <c r="D590" i="1"/>
  <c r="D644" i="1"/>
  <c r="D695" i="1"/>
  <c r="D747" i="1"/>
  <c r="I756" i="1"/>
  <c r="D801" i="1"/>
  <c r="D850" i="1"/>
  <c r="E861" i="1"/>
  <c r="D903" i="1"/>
  <c r="G930" i="1"/>
  <c r="A936" i="1"/>
  <c r="A937" i="1"/>
  <c r="A939" i="1"/>
  <c r="G944" i="1"/>
  <c r="A948" i="1"/>
  <c r="D956" i="1"/>
  <c r="D1011" i="1"/>
  <c r="D1119" i="1"/>
  <c r="D1174" i="1"/>
  <c r="D1227" i="1"/>
  <c r="D1280" i="1"/>
  <c r="D1333" i="1"/>
  <c r="D1385" i="1"/>
  <c r="H1418" i="1"/>
  <c r="J1413" i="1"/>
  <c r="E37" i="2"/>
  <c r="L37" i="2"/>
  <c r="Z37" i="2"/>
  <c r="C1020" i="1"/>
  <c r="C1017" i="1"/>
  <c r="G106" i="3"/>
  <c r="E1031" i="1"/>
  <c r="G1429" i="1"/>
  <c r="G94" i="3"/>
  <c r="G104" i="3"/>
  <c r="A938" i="1"/>
  <c r="E1018" i="1"/>
  <c r="G92" i="3"/>
  <c r="E95" i="3"/>
  <c r="F95" i="3"/>
  <c r="G96" i="3"/>
  <c r="E96" i="3"/>
  <c r="F96" i="3"/>
  <c r="E92" i="3"/>
  <c r="C93" i="3"/>
  <c r="D93" i="3"/>
  <c r="F92" i="3"/>
  <c r="E93" i="3"/>
  <c r="F93" i="3"/>
  <c r="E94" i="3"/>
  <c r="F94" i="3"/>
  <c r="C92" i="3"/>
  <c r="D92" i="3"/>
  <c r="E74" i="3"/>
  <c r="F74" i="3"/>
  <c r="E75" i="3"/>
  <c r="F75" i="3"/>
  <c r="G76" i="3"/>
  <c r="E76" i="3"/>
  <c r="F76" i="3"/>
  <c r="E72" i="3"/>
  <c r="C72" i="3"/>
  <c r="D72" i="3"/>
  <c r="F72" i="3"/>
  <c r="E73" i="3"/>
  <c r="C73" i="3"/>
  <c r="D73" i="3"/>
  <c r="F73" i="3"/>
  <c r="G72" i="3"/>
  <c r="C62" i="3"/>
  <c r="D62" i="3"/>
  <c r="E63" i="3"/>
  <c r="C63" i="3"/>
  <c r="D63" i="3"/>
  <c r="F62" i="3"/>
  <c r="F63" i="3"/>
  <c r="E62" i="3"/>
  <c r="G86" i="3"/>
  <c r="F82" i="3"/>
  <c r="E83" i="3"/>
  <c r="C82" i="3"/>
  <c r="D82" i="3"/>
  <c r="F83" i="3"/>
  <c r="E84" i="3"/>
  <c r="F84" i="3"/>
  <c r="C83" i="3"/>
  <c r="D83" i="3"/>
  <c r="G82" i="3"/>
  <c r="E85" i="3"/>
  <c r="F85" i="3"/>
  <c r="E86" i="3"/>
  <c r="F86" i="3"/>
  <c r="E82" i="3"/>
  <c r="G62" i="3"/>
  <c r="E64" i="3"/>
  <c r="F64" i="3"/>
  <c r="G66" i="3"/>
  <c r="E65" i="3"/>
  <c r="F65" i="3"/>
  <c r="E66" i="3"/>
  <c r="F66" i="3"/>
  <c r="I1100" i="1"/>
  <c r="C1111" i="1"/>
  <c r="I1101" i="1"/>
  <c r="C1112" i="1"/>
  <c r="J1112" i="1"/>
  <c r="D1003" i="1"/>
  <c r="D1004" i="1"/>
  <c r="B1099" i="1"/>
  <c r="I1099" i="1"/>
  <c r="C1110" i="1"/>
  <c r="D1002" i="1"/>
  <c r="D1006" i="1"/>
  <c r="B1103" i="1"/>
  <c r="D1005" i="1"/>
  <c r="B1102" i="1"/>
  <c r="I1102" i="1"/>
  <c r="C1113" i="1"/>
  <c r="D1076" i="1"/>
  <c r="C1090" i="1"/>
  <c r="F103" i="3"/>
  <c r="I102" i="3"/>
  <c r="I104" i="3"/>
  <c r="F1018" i="1"/>
  <c r="H1018" i="1"/>
  <c r="E1019" i="1"/>
  <c r="G1018" i="1"/>
  <c r="C1050" i="1"/>
  <c r="F1019" i="1"/>
  <c r="G1076" i="1"/>
  <c r="E1076" i="1"/>
  <c r="I1076" i="1"/>
  <c r="F1076" i="1"/>
  <c r="J1076" i="1"/>
  <c r="H1076" i="1"/>
  <c r="C945" i="1"/>
  <c r="G1019" i="1"/>
  <c r="B1043" i="1"/>
  <c r="J11" i="3"/>
  <c r="J1028" i="1"/>
  <c r="AB39" i="2"/>
  <c r="Z42" i="2"/>
  <c r="AB42" i="2"/>
  <c r="I790" i="1"/>
  <c r="D938" i="1"/>
  <c r="I811" i="1"/>
  <c r="D1402" i="1"/>
  <c r="J1396" i="1"/>
  <c r="E1045" i="1"/>
  <c r="S37" i="2"/>
  <c r="H1019" i="1"/>
  <c r="H948" i="1"/>
  <c r="J948" i="1"/>
  <c r="G943" i="1"/>
  <c r="Y42" i="2"/>
  <c r="AA42" i="2"/>
  <c r="I784" i="1"/>
  <c r="I808" i="1"/>
  <c r="J808" i="1"/>
  <c r="H31" i="3"/>
  <c r="H24" i="3"/>
  <c r="G39" i="2"/>
  <c r="I936" i="1"/>
  <c r="I940" i="1"/>
  <c r="D940" i="1"/>
  <c r="G41" i="2"/>
  <c r="J1042" i="1"/>
  <c r="G766" i="1"/>
  <c r="G10" i="3"/>
  <c r="G9" i="3"/>
  <c r="N39" i="2"/>
  <c r="H52" i="3"/>
  <c r="F47" i="3"/>
  <c r="H41" i="3"/>
  <c r="A47" i="3"/>
  <c r="K42" i="2"/>
  <c r="C1057" i="1"/>
  <c r="I1078" i="1"/>
  <c r="I1056" i="1"/>
  <c r="H1088" i="1"/>
  <c r="I1052" i="1"/>
  <c r="D1088" i="1"/>
  <c r="G1056" i="1"/>
  <c r="G1052" i="1"/>
  <c r="I1057" i="1"/>
  <c r="I1088" i="1"/>
  <c r="I1053" i="1"/>
  <c r="E1088" i="1"/>
  <c r="G1057" i="1"/>
  <c r="G1053" i="1"/>
  <c r="I1058" i="1"/>
  <c r="I1054" i="1"/>
  <c r="F1088" i="1"/>
  <c r="G1058" i="1"/>
  <c r="G1054" i="1"/>
  <c r="I1059" i="1"/>
  <c r="J1088" i="1"/>
  <c r="I1055" i="1"/>
  <c r="G1088" i="1"/>
  <c r="G1059" i="1"/>
  <c r="G1055" i="1"/>
  <c r="A1032" i="1"/>
  <c r="J1419" i="1"/>
  <c r="D1061" i="1"/>
  <c r="D1390" i="1"/>
  <c r="J1390" i="1"/>
  <c r="I1436" i="1"/>
  <c r="G1020" i="1"/>
  <c r="D1026" i="1"/>
  <c r="E1026" i="1"/>
  <c r="E1020" i="1"/>
  <c r="F1020" i="1"/>
  <c r="D1025" i="1"/>
  <c r="E1025" i="1"/>
  <c r="H1020" i="1"/>
  <c r="D1027" i="1"/>
  <c r="E1027" i="1"/>
  <c r="I92" i="3"/>
  <c r="I94" i="3"/>
  <c r="G97" i="3"/>
  <c r="I97" i="3"/>
  <c r="I1077" i="1"/>
  <c r="I82" i="3"/>
  <c r="I84" i="3"/>
  <c r="G87" i="3"/>
  <c r="I87" i="3"/>
  <c r="I72" i="3"/>
  <c r="I74" i="3"/>
  <c r="G77" i="3"/>
  <c r="I77" i="3"/>
  <c r="I62" i="3"/>
  <c r="I64" i="3"/>
  <c r="G67" i="3"/>
  <c r="I67" i="3"/>
  <c r="G107" i="3"/>
  <c r="I107" i="3"/>
  <c r="D1103" i="1"/>
  <c r="I1103" i="1"/>
  <c r="C1114" i="1"/>
  <c r="I1113" i="1"/>
  <c r="I768" i="1"/>
  <c r="I844" i="1"/>
  <c r="C1053" i="1"/>
  <c r="C1059" i="1"/>
  <c r="E1057" i="1"/>
  <c r="C1052" i="1"/>
  <c r="C1054" i="1"/>
  <c r="F1113" i="1"/>
  <c r="E1054" i="1"/>
  <c r="C1058" i="1"/>
  <c r="J1113" i="1"/>
  <c r="F255" i="1"/>
  <c r="E1055" i="1"/>
  <c r="C1055" i="1"/>
  <c r="G1113" i="1"/>
  <c r="E1058" i="1"/>
  <c r="I1074" i="1"/>
  <c r="I1075" i="1"/>
  <c r="I1087" i="1"/>
  <c r="C1056" i="1"/>
  <c r="E1053" i="1"/>
  <c r="E1056" i="1"/>
  <c r="E1059" i="1"/>
  <c r="E1052" i="1"/>
  <c r="J1075" i="1"/>
  <c r="I807" i="1"/>
  <c r="J807" i="1"/>
  <c r="E1111" i="1"/>
  <c r="J1045" i="1"/>
  <c r="I24" i="3"/>
  <c r="I1111" i="1"/>
  <c r="J38" i="3"/>
  <c r="J46" i="3"/>
  <c r="J40" i="3"/>
  <c r="J50" i="3"/>
  <c r="J28" i="3"/>
  <c r="J33" i="3"/>
  <c r="J30" i="3"/>
  <c r="J39" i="3"/>
  <c r="J49" i="3"/>
  <c r="J9" i="3"/>
  <c r="J51" i="3"/>
  <c r="J16" i="3"/>
  <c r="J21" i="3"/>
  <c r="J20" i="3"/>
  <c r="J35" i="3"/>
  <c r="I1110" i="1"/>
  <c r="J29" i="3"/>
  <c r="J19" i="3"/>
  <c r="J22" i="3"/>
  <c r="J45" i="3"/>
  <c r="J27" i="3"/>
  <c r="J48" i="3"/>
  <c r="J26" i="3"/>
  <c r="J47" i="3"/>
  <c r="J23" i="3"/>
  <c r="J10" i="3"/>
  <c r="J34" i="3"/>
  <c r="J37" i="3"/>
  <c r="J12" i="3"/>
  <c r="J36" i="3"/>
  <c r="F50" i="3"/>
  <c r="Y43" i="2"/>
  <c r="Z43" i="2"/>
  <c r="F48" i="3"/>
  <c r="F45" i="3"/>
  <c r="G15" i="3"/>
  <c r="H17" i="3"/>
  <c r="I755" i="1"/>
  <c r="A756" i="1"/>
  <c r="H13" i="3"/>
  <c r="F9" i="3"/>
  <c r="D42" i="2"/>
  <c r="E42" i="2"/>
  <c r="F1112" i="1"/>
  <c r="G1112" i="1"/>
  <c r="H1112" i="1"/>
  <c r="D1112" i="1"/>
  <c r="I1112" i="1"/>
  <c r="E1112" i="1"/>
  <c r="L42" i="2"/>
  <c r="D1023" i="1"/>
  <c r="E1023" i="1"/>
  <c r="D1024" i="1"/>
  <c r="E1024" i="1"/>
  <c r="H1090" i="1"/>
  <c r="I1090" i="1"/>
  <c r="E1087" i="1"/>
  <c r="E1090" i="1"/>
  <c r="I1086" i="1"/>
  <c r="I1089" i="1"/>
  <c r="E479" i="1"/>
  <c r="G1090" i="1"/>
  <c r="E1114" i="1"/>
  <c r="J1114" i="1"/>
  <c r="I1114" i="1"/>
  <c r="G1114" i="1"/>
  <c r="D1114" i="1"/>
  <c r="H1114" i="1"/>
  <c r="F1114" i="1"/>
  <c r="F1090" i="1"/>
  <c r="E1113" i="1"/>
  <c r="G1074" i="1"/>
  <c r="G1078" i="1"/>
  <c r="G1089" i="1"/>
  <c r="G1077" i="1"/>
  <c r="J1087" i="1"/>
  <c r="J1078" i="1"/>
  <c r="J1089" i="1"/>
  <c r="J1077" i="1"/>
  <c r="D1087" i="1"/>
  <c r="D1078" i="1"/>
  <c r="D1077" i="1"/>
  <c r="D1089" i="1"/>
  <c r="E1075" i="1"/>
  <c r="E1078" i="1"/>
  <c r="E1077" i="1"/>
  <c r="E1089" i="1"/>
  <c r="H1075" i="1"/>
  <c r="H1078" i="1"/>
  <c r="H1077" i="1"/>
  <c r="H1089" i="1"/>
  <c r="F1074" i="1"/>
  <c r="F1078" i="1"/>
  <c r="F1077" i="1"/>
  <c r="F1089" i="1"/>
  <c r="J1090" i="1"/>
  <c r="D1090" i="1"/>
  <c r="H1113" i="1"/>
  <c r="D1113" i="1"/>
  <c r="I17" i="3"/>
  <c r="F913" i="1"/>
  <c r="J1111" i="1"/>
  <c r="J1110" i="1"/>
  <c r="E1110" i="1"/>
  <c r="F1111" i="1"/>
  <c r="F1086" i="1"/>
  <c r="H1110" i="1"/>
  <c r="E1074" i="1"/>
  <c r="D1110" i="1"/>
  <c r="F1110" i="1"/>
  <c r="F1087" i="1"/>
  <c r="F1075" i="1"/>
  <c r="J1086" i="1"/>
  <c r="E1086" i="1"/>
  <c r="D1074" i="1"/>
  <c r="G1087" i="1"/>
  <c r="D1075" i="1"/>
  <c r="G1075" i="1"/>
  <c r="G1110" i="1"/>
  <c r="D1111" i="1"/>
  <c r="G1111" i="1"/>
  <c r="D1086" i="1"/>
  <c r="J1074" i="1"/>
  <c r="G1086" i="1"/>
  <c r="H1111" i="1"/>
  <c r="H1074" i="1"/>
  <c r="H1086" i="1"/>
  <c r="H1087" i="1"/>
  <c r="I19" i="3"/>
  <c r="I20" i="3"/>
  <c r="I23" i="3"/>
  <c r="I21" i="3"/>
  <c r="I16" i="3"/>
  <c r="C422" i="1"/>
  <c r="C421" i="1"/>
  <c r="I22" i="3"/>
  <c r="J15" i="3"/>
  <c r="I15" i="3"/>
  <c r="AA43" i="2"/>
  <c r="AB43" i="2"/>
  <c r="Z44" i="2"/>
  <c r="F52" i="3"/>
  <c r="J806" i="1"/>
  <c r="F941" i="1"/>
  <c r="D1403" i="1"/>
  <c r="G42" i="2"/>
  <c r="D43" i="2"/>
  <c r="E43" i="2"/>
  <c r="F42" i="2"/>
  <c r="H43" i="3"/>
  <c r="N42" i="2"/>
  <c r="A945" i="1"/>
  <c r="J945" i="1"/>
  <c r="G1403" i="1"/>
  <c r="G931" i="1"/>
  <c r="A932" i="1"/>
  <c r="A1046" i="1"/>
  <c r="M42" i="2"/>
  <c r="E1030" i="1"/>
  <c r="D950" i="1"/>
  <c r="A951" i="1"/>
  <c r="S36" i="2"/>
  <c r="U39" i="2"/>
  <c r="F938" i="1"/>
  <c r="D47" i="3"/>
  <c r="Y44" i="2"/>
  <c r="AB44" i="2"/>
  <c r="Y45" i="2"/>
  <c r="F39" i="3"/>
  <c r="J43" i="3"/>
  <c r="I43" i="3"/>
  <c r="AA44" i="2"/>
  <c r="F36" i="3"/>
  <c r="F38" i="3"/>
  <c r="F42" i="3"/>
  <c r="F33" i="3"/>
  <c r="F41" i="3"/>
  <c r="F10" i="3"/>
  <c r="F19" i="3"/>
  <c r="F24" i="3"/>
  <c r="F26" i="3"/>
  <c r="F15" i="3"/>
  <c r="F27" i="3"/>
  <c r="F16" i="3"/>
  <c r="F11" i="3"/>
  <c r="F31" i="3"/>
  <c r="D468" i="1"/>
  <c r="I468" i="1"/>
  <c r="F253" i="1"/>
  <c r="K43" i="2"/>
  <c r="G43" i="2"/>
  <c r="F43" i="2"/>
  <c r="R42" i="2"/>
  <c r="S42" i="2"/>
  <c r="T42" i="2"/>
  <c r="F13" i="3"/>
  <c r="F17" i="3"/>
  <c r="L43" i="2"/>
  <c r="M43" i="2"/>
  <c r="Z45" i="2"/>
  <c r="D44" i="2"/>
  <c r="E44" i="2"/>
  <c r="G44" i="2"/>
  <c r="U42" i="2"/>
  <c r="R43" i="2"/>
  <c r="F44" i="2"/>
  <c r="F43" i="3"/>
  <c r="AB45" i="2"/>
  <c r="D45" i="2"/>
  <c r="E45" i="2"/>
  <c r="G45" i="2"/>
  <c r="AA45" i="2"/>
  <c r="N43" i="2"/>
  <c r="S43" i="2"/>
  <c r="T43" i="2"/>
  <c r="D46" i="2"/>
  <c r="E46" i="2"/>
  <c r="K44" i="2"/>
  <c r="AB46" i="2"/>
  <c r="Z46" i="2"/>
  <c r="Y46" i="2"/>
  <c r="AA46" i="2"/>
  <c r="F45" i="2"/>
  <c r="U43" i="2"/>
  <c r="R44" i="2"/>
  <c r="S44" i="2"/>
  <c r="G46" i="2"/>
  <c r="F46" i="2"/>
  <c r="L44" i="2"/>
  <c r="M44" i="2"/>
  <c r="Y47" i="2"/>
  <c r="Z47" i="2"/>
  <c r="AA47" i="2"/>
  <c r="T44" i="2"/>
  <c r="U44" i="2"/>
  <c r="D47" i="2"/>
  <c r="E47" i="2"/>
  <c r="G47" i="2"/>
  <c r="N44" i="2"/>
  <c r="AB47" i="2"/>
  <c r="R45" i="2"/>
  <c r="S45" i="2"/>
  <c r="U45" i="2"/>
  <c r="D48" i="2"/>
  <c r="F47" i="2"/>
  <c r="K45" i="2"/>
  <c r="Y48" i="2"/>
  <c r="Z48" i="2"/>
  <c r="AB48" i="2"/>
  <c r="AA48" i="2"/>
  <c r="R46" i="2"/>
  <c r="S46" i="2"/>
  <c r="U46" i="2"/>
  <c r="T45" i="2"/>
  <c r="E48" i="2"/>
  <c r="G48" i="2"/>
  <c r="D49" i="2"/>
  <c r="Y49" i="2"/>
  <c r="L45" i="2"/>
  <c r="M45" i="2"/>
  <c r="F48" i="2"/>
  <c r="R47" i="2"/>
  <c r="T46" i="2"/>
  <c r="E49" i="2"/>
  <c r="G49" i="2"/>
  <c r="D50" i="2"/>
  <c r="Z49" i="2"/>
  <c r="AB49" i="2"/>
  <c r="N45" i="2"/>
  <c r="S47" i="2"/>
  <c r="U47" i="2"/>
  <c r="R48" i="2"/>
  <c r="F49" i="2"/>
  <c r="E50" i="2"/>
  <c r="F50" i="2"/>
  <c r="AA49" i="2"/>
  <c r="AB50" i="2"/>
  <c r="Y50" i="2"/>
  <c r="Z50" i="2"/>
  <c r="AA50" i="2"/>
  <c r="K46" i="2"/>
  <c r="G50" i="2"/>
  <c r="D51" i="2"/>
  <c r="E51" i="2"/>
  <c r="T47" i="2"/>
  <c r="S48" i="2"/>
  <c r="T48" i="2"/>
  <c r="Y51" i="2"/>
  <c r="Z51" i="2"/>
  <c r="AB51" i="2"/>
  <c r="L46" i="2"/>
  <c r="M46" i="2"/>
  <c r="G51" i="2"/>
  <c r="D52" i="2"/>
  <c r="E52" i="2"/>
  <c r="G52" i="2"/>
  <c r="D53" i="2"/>
  <c r="D54" i="2"/>
  <c r="F51" i="2"/>
  <c r="U48" i="2"/>
  <c r="R49" i="2"/>
  <c r="AA51" i="2"/>
  <c r="Y52" i="2"/>
  <c r="AB52" i="2"/>
  <c r="AA52" i="2"/>
  <c r="Z52" i="2"/>
  <c r="N46" i="2"/>
  <c r="F52" i="2"/>
  <c r="S49" i="2"/>
  <c r="U49" i="2"/>
  <c r="E53" i="2"/>
  <c r="E54" i="2"/>
  <c r="K47" i="2"/>
  <c r="Y53" i="2"/>
  <c r="Y54" i="2"/>
  <c r="G53" i="2"/>
  <c r="G54" i="2"/>
  <c r="D55" i="2"/>
  <c r="E55" i="2"/>
  <c r="G55" i="2"/>
  <c r="T49" i="2"/>
  <c r="R50" i="2"/>
  <c r="S50" i="2"/>
  <c r="F53" i="2"/>
  <c r="F54" i="2"/>
  <c r="L47" i="2"/>
  <c r="M47" i="2"/>
  <c r="Z53" i="2"/>
  <c r="AA53" i="2"/>
  <c r="AA54" i="2"/>
  <c r="T50" i="2"/>
  <c r="U50" i="2"/>
  <c r="F55" i="2"/>
  <c r="N47" i="2"/>
  <c r="Z54" i="2"/>
  <c r="AB53" i="2"/>
  <c r="AB54" i="2"/>
  <c r="D56" i="2"/>
  <c r="E56" i="2"/>
  <c r="R51" i="2"/>
  <c r="S51" i="2"/>
  <c r="U51" i="2"/>
  <c r="G56" i="2"/>
  <c r="F56" i="2"/>
  <c r="Y55" i="2"/>
  <c r="AB55" i="2"/>
  <c r="AA55" i="2"/>
  <c r="Z55" i="2"/>
  <c r="K48" i="2"/>
  <c r="R52" i="2"/>
  <c r="S52" i="2"/>
  <c r="T51" i="2"/>
  <c r="Y56" i="2"/>
  <c r="Z56" i="2"/>
  <c r="D57" i="2"/>
  <c r="E57" i="2"/>
  <c r="L48" i="2"/>
  <c r="M48" i="2"/>
  <c r="G57" i="2"/>
  <c r="D58" i="2"/>
  <c r="E58" i="2"/>
  <c r="G58" i="2"/>
  <c r="U52" i="2"/>
  <c r="T52" i="2"/>
  <c r="F57" i="2"/>
  <c r="AB56" i="2"/>
  <c r="N48" i="2"/>
  <c r="AA56" i="2"/>
  <c r="R53" i="2"/>
  <c r="R54" i="2"/>
  <c r="E59" i="2"/>
  <c r="D59" i="2"/>
  <c r="Y57" i="2"/>
  <c r="AB57" i="2"/>
  <c r="AA57" i="2"/>
  <c r="Z57" i="2"/>
  <c r="F58" i="2"/>
  <c r="K49" i="2"/>
  <c r="S53" i="2"/>
  <c r="S54" i="2"/>
  <c r="G59" i="2"/>
  <c r="D60" i="2"/>
  <c r="E60" i="2"/>
  <c r="F59" i="2"/>
  <c r="L49" i="2"/>
  <c r="Y58" i="2"/>
  <c r="Z58" i="2"/>
  <c r="AB58" i="2"/>
  <c r="U53" i="2"/>
  <c r="U54" i="2"/>
  <c r="R55" i="2"/>
  <c r="T53" i="2"/>
  <c r="T54" i="2"/>
  <c r="F60" i="2"/>
  <c r="G60" i="2"/>
  <c r="AA59" i="2"/>
  <c r="Z59" i="2"/>
  <c r="AB59" i="2"/>
  <c r="Y59" i="2"/>
  <c r="AA58" i="2"/>
  <c r="N49" i="2"/>
  <c r="M49" i="2"/>
  <c r="S55" i="2"/>
  <c r="T55" i="2"/>
  <c r="D61" i="2"/>
  <c r="E61" i="2"/>
  <c r="G61" i="2"/>
  <c r="K50" i="2"/>
  <c r="Y60" i="2"/>
  <c r="Z60" i="2"/>
  <c r="AB60" i="2"/>
  <c r="U55" i="2"/>
  <c r="F61" i="2"/>
  <c r="D62" i="2"/>
  <c r="E62" i="2"/>
  <c r="F62" i="2"/>
  <c r="Y61" i="2"/>
  <c r="AB61" i="2"/>
  <c r="AA61" i="2"/>
  <c r="Z61" i="2"/>
  <c r="L50" i="2"/>
  <c r="N50" i="2"/>
  <c r="AA60" i="2"/>
  <c r="R56" i="2"/>
  <c r="S56" i="2"/>
  <c r="U56" i="2"/>
  <c r="R57" i="2"/>
  <c r="M50" i="2"/>
  <c r="G62" i="2"/>
  <c r="D63" i="2"/>
  <c r="Y62" i="2"/>
  <c r="Z62" i="2"/>
  <c r="AB62" i="2"/>
  <c r="K51" i="2"/>
  <c r="S57" i="2"/>
  <c r="T57" i="2"/>
  <c r="T56" i="2"/>
  <c r="E63" i="2"/>
  <c r="F63" i="2"/>
  <c r="AB63" i="2"/>
  <c r="Z63" i="2"/>
  <c r="AA63" i="2"/>
  <c r="Y63" i="2"/>
  <c r="L51" i="2"/>
  <c r="AA62" i="2"/>
  <c r="G63" i="2"/>
  <c r="D64" i="2"/>
  <c r="E64" i="2"/>
  <c r="G64" i="2"/>
  <c r="D65" i="2"/>
  <c r="U57" i="2"/>
  <c r="R58" i="2"/>
  <c r="S58" i="2"/>
  <c r="U58" i="2"/>
  <c r="N51" i="2"/>
  <c r="Y64" i="2"/>
  <c r="Z64" i="2"/>
  <c r="AB64" i="2"/>
  <c r="M51" i="2"/>
  <c r="F64" i="2"/>
  <c r="E65" i="2"/>
  <c r="G65" i="2"/>
  <c r="D66" i="2"/>
  <c r="D67" i="2"/>
  <c r="R59" i="2"/>
  <c r="S59" i="2"/>
  <c r="T58" i="2"/>
  <c r="F65" i="2"/>
  <c r="Y65" i="2"/>
  <c r="AB65" i="2"/>
  <c r="AA65" i="2"/>
  <c r="Z65" i="2"/>
  <c r="AA64" i="2"/>
  <c r="K52" i="2"/>
  <c r="E66" i="2"/>
  <c r="E67" i="2"/>
  <c r="U59" i="2"/>
  <c r="T59" i="2"/>
  <c r="Y66" i="2"/>
  <c r="Y67" i="2"/>
  <c r="L52" i="2"/>
  <c r="F66" i="2"/>
  <c r="F67" i="2"/>
  <c r="G66" i="2"/>
  <c r="G67" i="2"/>
  <c r="D68" i="2"/>
  <c r="R60" i="2"/>
  <c r="Z66" i="2"/>
  <c r="Z67" i="2"/>
  <c r="N52" i="2"/>
  <c r="M52" i="2"/>
  <c r="E68" i="2"/>
  <c r="S60" i="2"/>
  <c r="U60" i="2"/>
  <c r="R61" i="2"/>
  <c r="S61" i="2"/>
  <c r="G68" i="2"/>
  <c r="D69" i="2"/>
  <c r="F68" i="2"/>
  <c r="AB66" i="2"/>
  <c r="AB67" i="2"/>
  <c r="Y68" i="2"/>
  <c r="AA66" i="2"/>
  <c r="AA67" i="2"/>
  <c r="K53" i="2"/>
  <c r="T60" i="2"/>
  <c r="U61" i="2"/>
  <c r="T61" i="2"/>
  <c r="Z68" i="2"/>
  <c r="AB68" i="2"/>
  <c r="Y69" i="2"/>
  <c r="Z69" i="2"/>
  <c r="AA68" i="2"/>
  <c r="E69" i="2"/>
  <c r="G69" i="2"/>
  <c r="K54" i="2"/>
  <c r="L53" i="2"/>
  <c r="M53" i="2"/>
  <c r="M54" i="2"/>
  <c r="R62" i="2"/>
  <c r="S62" i="2"/>
  <c r="D70" i="2"/>
  <c r="E70" i="2"/>
  <c r="G70" i="2"/>
  <c r="F69" i="2"/>
  <c r="AB69" i="2"/>
  <c r="AA69" i="2"/>
  <c r="L54" i="2"/>
  <c r="N53" i="2"/>
  <c r="N54" i="2"/>
  <c r="U62" i="2"/>
  <c r="T62" i="2"/>
  <c r="D71" i="2"/>
  <c r="E71" i="2"/>
  <c r="F70" i="2"/>
  <c r="Z70" i="2"/>
  <c r="AB70" i="2"/>
  <c r="Y70" i="2"/>
  <c r="AA70" i="2"/>
  <c r="K55" i="2"/>
  <c r="R63" i="2"/>
  <c r="S63" i="2"/>
  <c r="F71" i="2"/>
  <c r="G71" i="2"/>
  <c r="L55" i="2"/>
  <c r="Y71" i="2"/>
  <c r="Z71" i="2"/>
  <c r="T63" i="2"/>
  <c r="U63" i="2"/>
  <c r="D72" i="2"/>
  <c r="AB71" i="2"/>
  <c r="AA71" i="2"/>
  <c r="N55" i="2"/>
  <c r="M55" i="2"/>
  <c r="R64" i="2"/>
  <c r="S64" i="2"/>
  <c r="F72" i="2"/>
  <c r="E72" i="2"/>
  <c r="G72" i="2"/>
  <c r="D73" i="2"/>
  <c r="E73" i="2"/>
  <c r="G73" i="2"/>
  <c r="E74" i="2"/>
  <c r="Y72" i="2"/>
  <c r="AB72" i="2"/>
  <c r="Z72" i="2"/>
  <c r="AA72" i="2"/>
  <c r="K56" i="2"/>
  <c r="T64" i="2"/>
  <c r="U64" i="2"/>
  <c r="F73" i="2"/>
  <c r="D74" i="2"/>
  <c r="G74" i="2"/>
  <c r="D75" i="2"/>
  <c r="Y73" i="2"/>
  <c r="Z73" i="2"/>
  <c r="L56" i="2"/>
  <c r="M56" i="2"/>
  <c r="F74" i="2"/>
  <c r="R65" i="2"/>
  <c r="E75" i="2"/>
  <c r="G75" i="2"/>
  <c r="AB73" i="2"/>
  <c r="AB74" i="2"/>
  <c r="AA73" i="2"/>
  <c r="N56" i="2"/>
  <c r="S65" i="2"/>
  <c r="U65" i="2"/>
  <c r="Y74" i="2"/>
  <c r="F75" i="2"/>
  <c r="D76" i="2"/>
  <c r="E76" i="2"/>
  <c r="AA74" i="2"/>
  <c r="Z74" i="2"/>
  <c r="Y75" i="2"/>
  <c r="Z75" i="2"/>
  <c r="AB75" i="2"/>
  <c r="K57" i="2"/>
  <c r="F76" i="2"/>
  <c r="T65" i="2"/>
  <c r="R66" i="2"/>
  <c r="R67" i="2"/>
  <c r="G76" i="2"/>
  <c r="D77" i="2"/>
  <c r="E77" i="2"/>
  <c r="G77" i="2"/>
  <c r="AA75" i="2"/>
  <c r="Y76" i="2"/>
  <c r="AA76" i="2"/>
  <c r="AB76" i="2"/>
  <c r="Z76" i="2"/>
  <c r="L57" i="2"/>
  <c r="S66" i="2"/>
  <c r="U66" i="2"/>
  <c r="U67" i="2"/>
  <c r="I938" i="1"/>
  <c r="E78" i="2"/>
  <c r="D78" i="2"/>
  <c r="F77" i="2"/>
  <c r="N57" i="2"/>
  <c r="Y77" i="2"/>
  <c r="Z77" i="2"/>
  <c r="M57" i="2"/>
  <c r="F78" i="2"/>
  <c r="T66" i="2"/>
  <c r="T67" i="2"/>
  <c r="S67" i="2"/>
  <c r="R68" i="2"/>
  <c r="S68" i="2"/>
  <c r="G78" i="2"/>
  <c r="D79" i="2"/>
  <c r="D80" i="2"/>
  <c r="AB77" i="2"/>
  <c r="AA77" i="2"/>
  <c r="K58" i="2"/>
  <c r="U68" i="2"/>
  <c r="T68" i="2"/>
  <c r="E79" i="2"/>
  <c r="E80" i="2"/>
  <c r="L58" i="2"/>
  <c r="Z78" i="2"/>
  <c r="AA78" i="2"/>
  <c r="AB78" i="2"/>
  <c r="Y78" i="2"/>
  <c r="F79" i="2"/>
  <c r="F80" i="2"/>
  <c r="G79" i="2"/>
  <c r="G80" i="2"/>
  <c r="D81" i="2"/>
  <c r="R69" i="2"/>
  <c r="S69" i="2"/>
  <c r="T69" i="2"/>
  <c r="N58" i="2"/>
  <c r="Y79" i="2"/>
  <c r="Y80" i="2"/>
  <c r="M58" i="2"/>
  <c r="E81" i="2"/>
  <c r="F81" i="2"/>
  <c r="U69" i="2"/>
  <c r="G81" i="2"/>
  <c r="D82" i="2"/>
  <c r="E82" i="2"/>
  <c r="Z79" i="2"/>
  <c r="Z80" i="2"/>
  <c r="K59" i="2"/>
  <c r="R70" i="2"/>
  <c r="AB79" i="2"/>
  <c r="AB80" i="2"/>
  <c r="AB81" i="2"/>
  <c r="AA79" i="2"/>
  <c r="AA80" i="2"/>
  <c r="G82" i="2"/>
  <c r="F82" i="2"/>
  <c r="L59" i="2"/>
  <c r="S70" i="2"/>
  <c r="T70" i="2"/>
  <c r="Y81" i="2"/>
  <c r="AA81" i="2"/>
  <c r="Z81" i="2"/>
  <c r="N59" i="2"/>
  <c r="Y82" i="2"/>
  <c r="E83" i="2"/>
  <c r="D83" i="2"/>
  <c r="M59" i="2"/>
  <c r="G83" i="2"/>
  <c r="D84" i="2"/>
  <c r="U70" i="2"/>
  <c r="R71" i="2"/>
  <c r="S71" i="2"/>
  <c r="U71" i="2"/>
  <c r="F83" i="2"/>
  <c r="K60" i="2"/>
  <c r="Z82" i="2"/>
  <c r="AA82" i="2"/>
  <c r="R72" i="2"/>
  <c r="S72" i="2"/>
  <c r="T71" i="2"/>
  <c r="E84" i="2"/>
  <c r="G84" i="2"/>
  <c r="L60" i="2"/>
  <c r="AB82" i="2"/>
  <c r="U72" i="2"/>
  <c r="T72" i="2"/>
  <c r="D85" i="2"/>
  <c r="F85" i="2"/>
  <c r="E85" i="2"/>
  <c r="F84" i="2"/>
  <c r="Z83" i="2"/>
  <c r="Y83" i="2"/>
  <c r="AA83" i="2"/>
  <c r="AB83" i="2"/>
  <c r="N60" i="2"/>
  <c r="M60" i="2"/>
  <c r="R73" i="2"/>
  <c r="S73" i="2"/>
  <c r="U73" i="2"/>
  <c r="G85" i="2"/>
  <c r="D86" i="2"/>
  <c r="K61" i="2"/>
  <c r="Y84" i="2"/>
  <c r="R74" i="2"/>
  <c r="S74" i="2"/>
  <c r="U74" i="2"/>
  <c r="T73" i="2"/>
  <c r="E86" i="2"/>
  <c r="G86" i="2"/>
  <c r="E87" i="2"/>
  <c r="Z84" i="2"/>
  <c r="AB84" i="2"/>
  <c r="AB85" i="2"/>
  <c r="L61" i="2"/>
  <c r="F86" i="2"/>
  <c r="R75" i="2"/>
  <c r="S75" i="2"/>
  <c r="T74" i="2"/>
  <c r="AA84" i="2"/>
  <c r="AA85" i="2"/>
  <c r="D87" i="2"/>
  <c r="G87" i="2"/>
  <c r="D88" i="2"/>
  <c r="E88" i="2"/>
  <c r="Z85" i="2"/>
  <c r="Y85" i="2"/>
  <c r="Y86" i="2"/>
  <c r="Z86" i="2"/>
  <c r="AB86" i="2"/>
  <c r="N61" i="2"/>
  <c r="M61" i="2"/>
  <c r="F87" i="2"/>
  <c r="T75" i="2"/>
  <c r="U75" i="2"/>
  <c r="AA86" i="2"/>
  <c r="AB87" i="2"/>
  <c r="Z87" i="2"/>
  <c r="Y87" i="2"/>
  <c r="AA87" i="2"/>
  <c r="G88" i="2"/>
  <c r="F88" i="2"/>
  <c r="K62" i="2"/>
  <c r="R76" i="2"/>
  <c r="E89" i="2"/>
  <c r="D89" i="2"/>
  <c r="Y88" i="2"/>
  <c r="Z88" i="2"/>
  <c r="L62" i="2"/>
  <c r="M62" i="2"/>
  <c r="S76" i="2"/>
  <c r="T76" i="2"/>
  <c r="G89" i="2"/>
  <c r="D90" i="2"/>
  <c r="E90" i="2"/>
  <c r="G90" i="2"/>
  <c r="F89" i="2"/>
  <c r="AB88" i="2"/>
  <c r="AA88" i="2"/>
  <c r="N62" i="2"/>
  <c r="U76" i="2"/>
  <c r="R77" i="2"/>
  <c r="S77" i="2"/>
  <c r="U77" i="2"/>
  <c r="E91" i="2"/>
  <c r="D91" i="2"/>
  <c r="AA89" i="2"/>
  <c r="Y89" i="2"/>
  <c r="AB89" i="2"/>
  <c r="Z89" i="2"/>
  <c r="K63" i="2"/>
  <c r="F90" i="2"/>
  <c r="G91" i="2"/>
  <c r="R78" i="2"/>
  <c r="S78" i="2"/>
  <c r="T78" i="2"/>
  <c r="T77" i="2"/>
  <c r="F91" i="2"/>
  <c r="L63" i="2"/>
  <c r="N63" i="2"/>
  <c r="Y90" i="2"/>
  <c r="Z90" i="2"/>
  <c r="AB90" i="2"/>
  <c r="D92" i="2"/>
  <c r="D93" i="2"/>
  <c r="U78" i="2"/>
  <c r="M63" i="2"/>
  <c r="AA91" i="2"/>
  <c r="AB91" i="2"/>
  <c r="Z91" i="2"/>
  <c r="Y91" i="2"/>
  <c r="K64" i="2"/>
  <c r="AA90" i="2"/>
  <c r="E92" i="2"/>
  <c r="E93" i="2"/>
  <c r="R79" i="2"/>
  <c r="R80" i="2"/>
  <c r="L64" i="2"/>
  <c r="M64" i="2"/>
  <c r="Y92" i="2"/>
  <c r="Y93" i="2"/>
  <c r="F92" i="2"/>
  <c r="F93" i="2"/>
  <c r="G92" i="2"/>
  <c r="G93" i="2"/>
  <c r="F94" i="2"/>
  <c r="S79" i="2"/>
  <c r="S80" i="2"/>
  <c r="Z92" i="2"/>
  <c r="Z93" i="2"/>
  <c r="N64" i="2"/>
  <c r="D94" i="2"/>
  <c r="G94" i="2"/>
  <c r="D95" i="2"/>
  <c r="E94" i="2"/>
  <c r="T79" i="2"/>
  <c r="T80" i="2"/>
  <c r="U79" i="2"/>
  <c r="U80" i="2"/>
  <c r="R81" i="2"/>
  <c r="AB92" i="2"/>
  <c r="AB93" i="2"/>
  <c r="Y94" i="2"/>
  <c r="AA92" i="2"/>
  <c r="AA93" i="2"/>
  <c r="K65" i="2"/>
  <c r="E95" i="2"/>
  <c r="F95" i="2"/>
  <c r="S81" i="2"/>
  <c r="T81" i="2"/>
  <c r="AA94" i="2"/>
  <c r="AB94" i="2"/>
  <c r="Y95" i="2"/>
  <c r="Z95" i="2"/>
  <c r="Z94" i="2"/>
  <c r="L65" i="2"/>
  <c r="G95" i="2"/>
  <c r="U81" i="2"/>
  <c r="R82" i="2"/>
  <c r="AA95" i="2"/>
  <c r="N65" i="2"/>
  <c r="AB95" i="2"/>
  <c r="M65" i="2"/>
  <c r="E96" i="2"/>
  <c r="D96" i="2"/>
  <c r="G96" i="2"/>
  <c r="D97" i="2"/>
  <c r="F96" i="2"/>
  <c r="S82" i="2"/>
  <c r="U82" i="2"/>
  <c r="R83" i="2"/>
  <c r="S83" i="2"/>
  <c r="Y96" i="2"/>
  <c r="AA96" i="2"/>
  <c r="AB96" i="2"/>
  <c r="Z96" i="2"/>
  <c r="K66" i="2"/>
  <c r="E97" i="2"/>
  <c r="G97" i="2"/>
  <c r="D98" i="2"/>
  <c r="T82" i="2"/>
  <c r="U83" i="2"/>
  <c r="T83" i="2"/>
  <c r="Y97" i="2"/>
  <c r="Z97" i="2"/>
  <c r="AB97" i="2"/>
  <c r="K67" i="2"/>
  <c r="L66" i="2"/>
  <c r="M66" i="2"/>
  <c r="M67" i="2"/>
  <c r="E98" i="2"/>
  <c r="F97" i="2"/>
  <c r="R84" i="2"/>
  <c r="S84" i="2"/>
  <c r="G98" i="2"/>
  <c r="D99" i="2"/>
  <c r="E99" i="2"/>
  <c r="G99" i="2"/>
  <c r="F98" i="2"/>
  <c r="AA98" i="2"/>
  <c r="Y98" i="2"/>
  <c r="AB98" i="2"/>
  <c r="Z98" i="2"/>
  <c r="AA97" i="2"/>
  <c r="L67" i="2"/>
  <c r="N66" i="2"/>
  <c r="N67" i="2"/>
  <c r="U84" i="2"/>
  <c r="T84" i="2"/>
  <c r="E100" i="2"/>
  <c r="D100" i="2"/>
  <c r="K68" i="2"/>
  <c r="Y99" i="2"/>
  <c r="Z99" i="2"/>
  <c r="AB99" i="2"/>
  <c r="F99" i="2"/>
  <c r="F100" i="2"/>
  <c r="G100" i="2"/>
  <c r="D101" i="2"/>
  <c r="R85" i="2"/>
  <c r="S85" i="2"/>
  <c r="AA99" i="2"/>
  <c r="Z100" i="2"/>
  <c r="Y100" i="2"/>
  <c r="AB100" i="2"/>
  <c r="AA100" i="2"/>
  <c r="L68" i="2"/>
  <c r="T85" i="2"/>
  <c r="U85" i="2"/>
  <c r="N68" i="2"/>
  <c r="Y101" i="2"/>
  <c r="Z101" i="2"/>
  <c r="AB101" i="2"/>
  <c r="E101" i="2"/>
  <c r="G101" i="2"/>
  <c r="M68" i="2"/>
  <c r="R86" i="2"/>
  <c r="S86" i="2"/>
  <c r="U86" i="2"/>
  <c r="F101" i="2"/>
  <c r="AA101" i="2"/>
  <c r="Z102" i="2"/>
  <c r="Y102" i="2"/>
  <c r="AB102" i="2"/>
  <c r="AA102" i="2"/>
  <c r="K69" i="2"/>
  <c r="E102" i="2"/>
  <c r="D102" i="2"/>
  <c r="F102" i="2"/>
  <c r="R87" i="2"/>
  <c r="S87" i="2"/>
  <c r="T87" i="2"/>
  <c r="T86" i="2"/>
  <c r="G102" i="2"/>
  <c r="D103" i="2"/>
  <c r="L69" i="2"/>
  <c r="Y103" i="2"/>
  <c r="U87" i="2"/>
  <c r="Z103" i="2"/>
  <c r="AB103" i="2"/>
  <c r="Z104" i="2"/>
  <c r="E103" i="2"/>
  <c r="G103" i="2"/>
  <c r="D104" i="2"/>
  <c r="N69" i="2"/>
  <c r="M69" i="2"/>
  <c r="F103" i="2"/>
  <c r="R88" i="2"/>
  <c r="AA104" i="2"/>
  <c r="Y104" i="2"/>
  <c r="AA103" i="2"/>
  <c r="AB104" i="2"/>
  <c r="Y105" i="2"/>
  <c r="G104" i="2"/>
  <c r="D105" i="2"/>
  <c r="D106" i="2"/>
  <c r="E104" i="2"/>
  <c r="F104" i="2"/>
  <c r="K70" i="2"/>
  <c r="S88" i="2"/>
  <c r="U88" i="2"/>
  <c r="Y106" i="2"/>
  <c r="L70" i="2"/>
  <c r="M70" i="2"/>
  <c r="Z105" i="2"/>
  <c r="AA105" i="2"/>
  <c r="AA106" i="2"/>
  <c r="E105" i="2"/>
  <c r="F105" i="2"/>
  <c r="F106" i="2"/>
  <c r="T88" i="2"/>
  <c r="R89" i="2"/>
  <c r="S89" i="2"/>
  <c r="N70" i="2"/>
  <c r="E106" i="2"/>
  <c r="G105" i="2"/>
  <c r="G106" i="2"/>
  <c r="Z106" i="2"/>
  <c r="AB105" i="2"/>
  <c r="AB106" i="2"/>
  <c r="U89" i="2"/>
  <c r="T89" i="2"/>
  <c r="AB107" i="2"/>
  <c r="AA107" i="2"/>
  <c r="Z107" i="2"/>
  <c r="Y107" i="2"/>
  <c r="K71" i="2"/>
  <c r="E107" i="2"/>
  <c r="D107" i="2"/>
  <c r="F107" i="2"/>
  <c r="R90" i="2"/>
  <c r="S90" i="2"/>
  <c r="U90" i="2"/>
  <c r="G107" i="2"/>
  <c r="D108" i="2"/>
  <c r="Y108" i="2"/>
  <c r="Z108" i="2"/>
  <c r="AA108" i="2"/>
  <c r="L71" i="2"/>
  <c r="M71" i="2"/>
  <c r="R91" i="2"/>
  <c r="T90" i="2"/>
  <c r="AB108" i="2"/>
  <c r="AB109" i="2"/>
  <c r="E108" i="2"/>
  <c r="F108" i="2"/>
  <c r="N71" i="2"/>
  <c r="S91" i="2"/>
  <c r="U91" i="2"/>
  <c r="Z109" i="2"/>
  <c r="AA109" i="2"/>
  <c r="Y109" i="2"/>
  <c r="Y110" i="2"/>
  <c r="K72" i="2"/>
  <c r="G108" i="2"/>
  <c r="T91" i="2"/>
  <c r="R92" i="2"/>
  <c r="R93" i="2"/>
  <c r="Z110" i="2"/>
  <c r="AB110" i="2"/>
  <c r="Y111" i="2"/>
  <c r="L72" i="2"/>
  <c r="M72" i="2"/>
  <c r="E109" i="2"/>
  <c r="D109" i="2"/>
  <c r="F109" i="2"/>
  <c r="S92" i="2"/>
  <c r="T92" i="2"/>
  <c r="T93" i="2"/>
  <c r="AA110" i="2"/>
  <c r="G109" i="2"/>
  <c r="AA111" i="2"/>
  <c r="AB111" i="2"/>
  <c r="Y112" i="2"/>
  <c r="Z111" i="2"/>
  <c r="N72" i="2"/>
  <c r="S93" i="2"/>
  <c r="U92" i="2"/>
  <c r="U93" i="2"/>
  <c r="D110" i="2"/>
  <c r="E110" i="2"/>
  <c r="Z112" i="2"/>
  <c r="AB112" i="2"/>
  <c r="AA113" i="2"/>
  <c r="K73" i="2"/>
  <c r="G110" i="2"/>
  <c r="D111" i="2"/>
  <c r="F110" i="2"/>
  <c r="R94" i="2"/>
  <c r="S94" i="2"/>
  <c r="AB113" i="2"/>
  <c r="Y114" i="2"/>
  <c r="Z114" i="2"/>
  <c r="AA112" i="2"/>
  <c r="Y113" i="2"/>
  <c r="Z113" i="2"/>
  <c r="L73" i="2"/>
  <c r="M73" i="2"/>
  <c r="E111" i="2"/>
  <c r="G111" i="2"/>
  <c r="D112" i="2"/>
  <c r="E112" i="2"/>
  <c r="G112" i="2"/>
  <c r="D113" i="2"/>
  <c r="F113" i="2"/>
  <c r="F111" i="2"/>
  <c r="T94" i="2"/>
  <c r="U94" i="2"/>
  <c r="AB114" i="2"/>
  <c r="AA114" i="2"/>
  <c r="N73" i="2"/>
  <c r="F112" i="2"/>
  <c r="E113" i="2"/>
  <c r="R95" i="2"/>
  <c r="G113" i="2"/>
  <c r="D114" i="2"/>
  <c r="E114" i="2"/>
  <c r="G114" i="2"/>
  <c r="Y115" i="2"/>
  <c r="AA115" i="2"/>
  <c r="AB115" i="2"/>
  <c r="Z115" i="2"/>
  <c r="K74" i="2"/>
  <c r="S95" i="2"/>
  <c r="T95" i="2"/>
  <c r="E115" i="2"/>
  <c r="D115" i="2"/>
  <c r="Y116" i="2"/>
  <c r="Z116" i="2"/>
  <c r="AB116" i="2"/>
  <c r="L74" i="2"/>
  <c r="F114" i="2"/>
  <c r="F115" i="2"/>
  <c r="U95" i="2"/>
  <c r="G115" i="2"/>
  <c r="D116" i="2"/>
  <c r="AA116" i="2"/>
  <c r="AB117" i="2"/>
  <c r="AA117" i="2"/>
  <c r="Z117" i="2"/>
  <c r="Y117" i="2"/>
  <c r="N74" i="2"/>
  <c r="M74" i="2"/>
  <c r="R96" i="2"/>
  <c r="S96" i="2"/>
  <c r="Y118" i="2"/>
  <c r="Y119" i="2"/>
  <c r="K75" i="2"/>
  <c r="E116" i="2"/>
  <c r="G116" i="2"/>
  <c r="T96" i="2"/>
  <c r="U96" i="2"/>
  <c r="Z118" i="2"/>
  <c r="Z119" i="2"/>
  <c r="E117" i="2"/>
  <c r="D117" i="2"/>
  <c r="L75" i="2"/>
  <c r="F116" i="2"/>
  <c r="F117" i="2"/>
  <c r="R97" i="2"/>
  <c r="S97" i="2"/>
  <c r="U97" i="2"/>
  <c r="AA118" i="2"/>
  <c r="AA119" i="2"/>
  <c r="AB118" i="2"/>
  <c r="AB119" i="2"/>
  <c r="AB120" i="2"/>
  <c r="G117" i="2"/>
  <c r="D118" i="2"/>
  <c r="D119" i="2"/>
  <c r="N75" i="2"/>
  <c r="M75" i="2"/>
  <c r="R98" i="2"/>
  <c r="S98" i="2"/>
  <c r="U98" i="2"/>
  <c r="T97" i="2"/>
  <c r="Z120" i="2"/>
  <c r="AA120" i="2"/>
  <c r="Y120" i="2"/>
  <c r="Y121" i="2"/>
  <c r="E118" i="2"/>
  <c r="K76" i="2"/>
  <c r="T98" i="2"/>
  <c r="R99" i="2"/>
  <c r="E119" i="2"/>
  <c r="G118" i="2"/>
  <c r="G119" i="2"/>
  <c r="Z121" i="2"/>
  <c r="AA121" i="2"/>
  <c r="L76" i="2"/>
  <c r="N76" i="2"/>
  <c r="F118" i="2"/>
  <c r="F119" i="2"/>
  <c r="S99" i="2"/>
  <c r="U99" i="2"/>
  <c r="M76" i="2"/>
  <c r="E120" i="2"/>
  <c r="D120" i="2"/>
  <c r="AB121" i="2"/>
  <c r="K77" i="2"/>
  <c r="G120" i="2"/>
  <c r="D121" i="2"/>
  <c r="T99" i="2"/>
  <c r="R100" i="2"/>
  <c r="S100" i="2"/>
  <c r="F120" i="2"/>
  <c r="Z122" i="2"/>
  <c r="Y122" i="2"/>
  <c r="AB122" i="2"/>
  <c r="AA122" i="2"/>
  <c r="L77" i="2"/>
  <c r="U100" i="2"/>
  <c r="T100" i="2"/>
  <c r="Y123" i="2"/>
  <c r="Z123" i="2"/>
  <c r="AB123" i="2"/>
  <c r="E121" i="2"/>
  <c r="F121" i="2"/>
  <c r="N77" i="2"/>
  <c r="M77" i="2"/>
  <c r="R101" i="2"/>
  <c r="S101" i="2"/>
  <c r="U101" i="2"/>
  <c r="AA123" i="2"/>
  <c r="K78" i="2"/>
  <c r="G121" i="2"/>
  <c r="AA124" i="2"/>
  <c r="AB124" i="2"/>
  <c r="Z124" i="2"/>
  <c r="Y124" i="2"/>
  <c r="R102" i="2"/>
  <c r="S102" i="2"/>
  <c r="T102" i="2"/>
  <c r="T101" i="2"/>
  <c r="L78" i="2"/>
  <c r="M78" i="2"/>
  <c r="Y125" i="2"/>
  <c r="Z125" i="2"/>
  <c r="D122" i="2"/>
  <c r="G122" i="2"/>
  <c r="E122" i="2"/>
  <c r="U102" i="2"/>
  <c r="F122" i="2"/>
  <c r="AB125" i="2"/>
  <c r="AA125" i="2"/>
  <c r="N78" i="2"/>
  <c r="D123" i="2"/>
  <c r="R103" i="2"/>
  <c r="S103" i="2"/>
  <c r="U103" i="2"/>
  <c r="K79" i="2"/>
  <c r="E123" i="2"/>
  <c r="G123" i="2"/>
  <c r="AB126" i="2"/>
  <c r="Z126" i="2"/>
  <c r="Y126" i="2"/>
  <c r="AA126" i="2"/>
  <c r="F123" i="2"/>
  <c r="T103" i="2"/>
  <c r="R104" i="2"/>
  <c r="Y127" i="2"/>
  <c r="K80" i="2"/>
  <c r="L79" i="2"/>
  <c r="E124" i="2"/>
  <c r="D124" i="2"/>
  <c r="G124" i="2"/>
  <c r="D125" i="2"/>
  <c r="E125" i="2"/>
  <c r="G125" i="2"/>
  <c r="S104" i="2"/>
  <c r="T104" i="2"/>
  <c r="F124" i="2"/>
  <c r="L80" i="2"/>
  <c r="N79" i="2"/>
  <c r="N80" i="2"/>
  <c r="M79" i="2"/>
  <c r="M80" i="2"/>
  <c r="Z127" i="2"/>
  <c r="AB127" i="2"/>
  <c r="U104" i="2"/>
  <c r="AA127" i="2"/>
  <c r="F125" i="2"/>
  <c r="D126" i="2"/>
  <c r="E126" i="2"/>
  <c r="Z128" i="2"/>
  <c r="Y128" i="2"/>
  <c r="AA128" i="2"/>
  <c r="AB128" i="2"/>
  <c r="K81" i="2"/>
  <c r="F126" i="2"/>
  <c r="R105" i="2"/>
  <c r="R106" i="2"/>
  <c r="G126" i="2"/>
  <c r="D127" i="2"/>
  <c r="E127" i="2"/>
  <c r="G127" i="2"/>
  <c r="L81" i="2"/>
  <c r="M81" i="2"/>
  <c r="Y129" i="2"/>
  <c r="Z129" i="2"/>
  <c r="AB129" i="2"/>
  <c r="S105" i="2"/>
  <c r="T105" i="2"/>
  <c r="T106" i="2"/>
  <c r="E128" i="2"/>
  <c r="F128" i="2"/>
  <c r="D128" i="2"/>
  <c r="AB130" i="2"/>
  <c r="Z130" i="2"/>
  <c r="Y130" i="2"/>
  <c r="AA130" i="2"/>
  <c r="AA129" i="2"/>
  <c r="F127" i="2"/>
  <c r="N81" i="2"/>
  <c r="G128" i="2"/>
  <c r="D129" i="2"/>
  <c r="E129" i="2"/>
  <c r="S106" i="2"/>
  <c r="U105" i="2"/>
  <c r="U106" i="2"/>
  <c r="Y131" i="2"/>
  <c r="Y132" i="2"/>
  <c r="K82" i="2"/>
  <c r="R107" i="2"/>
  <c r="S107" i="2"/>
  <c r="Z131" i="2"/>
  <c r="Z132" i="2"/>
  <c r="F129" i="2"/>
  <c r="G129" i="2"/>
  <c r="L82" i="2"/>
  <c r="M82" i="2"/>
  <c r="T107" i="2"/>
  <c r="U107" i="2"/>
  <c r="AB131" i="2"/>
  <c r="AB132" i="2"/>
  <c r="Z133" i="2"/>
  <c r="AA131" i="2"/>
  <c r="AA132" i="2"/>
  <c r="D130" i="2"/>
  <c r="E130" i="2"/>
  <c r="N82" i="2"/>
  <c r="F130" i="2"/>
  <c r="R108" i="2"/>
  <c r="S108" i="2"/>
  <c r="G130" i="2"/>
  <c r="D131" i="2"/>
  <c r="D132" i="2"/>
  <c r="AB133" i="2"/>
  <c r="Y134" i="2"/>
  <c r="Z134" i="2"/>
  <c r="Y133" i="2"/>
  <c r="AA133" i="2"/>
  <c r="K83" i="2"/>
  <c r="U108" i="2"/>
  <c r="T108" i="2"/>
  <c r="AB134" i="2"/>
  <c r="AA135" i="2"/>
  <c r="AA134" i="2"/>
  <c r="L83" i="2"/>
  <c r="E131" i="2"/>
  <c r="R109" i="2"/>
  <c r="S109" i="2"/>
  <c r="AB135" i="2"/>
  <c r="Z135" i="2"/>
  <c r="Y135" i="2"/>
  <c r="N83" i="2"/>
  <c r="M83" i="2"/>
  <c r="E132" i="2"/>
  <c r="G131" i="2"/>
  <c r="G132" i="2"/>
  <c r="F131" i="2"/>
  <c r="F132" i="2"/>
  <c r="U109" i="2"/>
  <c r="T109" i="2"/>
  <c r="Y136" i="2"/>
  <c r="Z136" i="2"/>
  <c r="AB136" i="2"/>
  <c r="E133" i="2"/>
  <c r="D133" i="2"/>
  <c r="F133" i="2"/>
  <c r="K84" i="2"/>
  <c r="G133" i="2"/>
  <c r="D134" i="2"/>
  <c r="R110" i="2"/>
  <c r="AA136" i="2"/>
  <c r="L84" i="2"/>
  <c r="M84" i="2"/>
  <c r="Y137" i="2"/>
  <c r="AB137" i="2"/>
  <c r="AA137" i="2"/>
  <c r="Z137" i="2"/>
  <c r="S110" i="2"/>
  <c r="U110" i="2"/>
  <c r="E134" i="2"/>
  <c r="N84" i="2"/>
  <c r="Y138" i="2"/>
  <c r="T110" i="2"/>
  <c r="R111" i="2"/>
  <c r="S111" i="2"/>
  <c r="T111" i="2"/>
  <c r="Z138" i="2"/>
  <c r="AB138" i="2"/>
  <c r="Y139" i="2"/>
  <c r="G134" i="2"/>
  <c r="K85" i="2"/>
  <c r="F134" i="2"/>
  <c r="U111" i="2"/>
  <c r="AB139" i="2"/>
  <c r="Y140" i="2"/>
  <c r="Z140" i="2"/>
  <c r="AB140" i="2"/>
  <c r="AA139" i="2"/>
  <c r="AA138" i="2"/>
  <c r="Z139" i="2"/>
  <c r="E135" i="2"/>
  <c r="D135" i="2"/>
  <c r="L85" i="2"/>
  <c r="M85" i="2"/>
  <c r="R112" i="2"/>
  <c r="S112" i="2"/>
  <c r="G135" i="2"/>
  <c r="D136" i="2"/>
  <c r="E136" i="2"/>
  <c r="G136" i="2"/>
  <c r="F135" i="2"/>
  <c r="AA140" i="2"/>
  <c r="Y141" i="2"/>
  <c r="AA141" i="2"/>
  <c r="AB141" i="2"/>
  <c r="Z141" i="2"/>
  <c r="N85" i="2"/>
  <c r="U112" i="2"/>
  <c r="T112" i="2"/>
  <c r="E137" i="2"/>
  <c r="D137" i="2"/>
  <c r="F137" i="2"/>
  <c r="K86" i="2"/>
  <c r="Y142" i="2"/>
  <c r="Z142" i="2"/>
  <c r="AB142" i="2"/>
  <c r="F136" i="2"/>
  <c r="R113" i="2"/>
  <c r="S113" i="2"/>
  <c r="G137" i="2"/>
  <c r="D138" i="2"/>
  <c r="E138" i="2"/>
  <c r="G138" i="2"/>
  <c r="AA142" i="2"/>
  <c r="Z143" i="2"/>
  <c r="Y143" i="2"/>
  <c r="AA143" i="2"/>
  <c r="AB143" i="2"/>
  <c r="L86" i="2"/>
  <c r="M86" i="2"/>
  <c r="U113" i="2"/>
  <c r="T113" i="2"/>
  <c r="E139" i="2"/>
  <c r="D139" i="2"/>
  <c r="F138" i="2"/>
  <c r="Y144" i="2"/>
  <c r="Y145" i="2"/>
  <c r="N86" i="2"/>
  <c r="F139" i="2"/>
  <c r="R114" i="2"/>
  <c r="S114" i="2"/>
  <c r="U114" i="2"/>
  <c r="G139" i="2"/>
  <c r="K87" i="2"/>
  <c r="Z144" i="2"/>
  <c r="AA144" i="2"/>
  <c r="AA145" i="2"/>
  <c r="T114" i="2"/>
  <c r="R115" i="2"/>
  <c r="S115" i="2"/>
  <c r="D140" i="2"/>
  <c r="E140" i="2"/>
  <c r="L87" i="2"/>
  <c r="Z145" i="2"/>
  <c r="AB144" i="2"/>
  <c r="AB145" i="2"/>
  <c r="G140" i="2"/>
  <c r="E141" i="2"/>
  <c r="F140" i="2"/>
  <c r="U115" i="2"/>
  <c r="T115" i="2"/>
  <c r="N87" i="2"/>
  <c r="Z146" i="2"/>
  <c r="Y146" i="2"/>
  <c r="AB146" i="2"/>
  <c r="AA146" i="2"/>
  <c r="M87" i="2"/>
  <c r="D141" i="2"/>
  <c r="F141" i="2"/>
  <c r="R116" i="2"/>
  <c r="G141" i="2"/>
  <c r="D142" i="2"/>
  <c r="Y147" i="2"/>
  <c r="Z147" i="2"/>
  <c r="K88" i="2"/>
  <c r="S116" i="2"/>
  <c r="U116" i="2"/>
  <c r="R117" i="2"/>
  <c r="E142" i="2"/>
  <c r="G142" i="2"/>
  <c r="E143" i="2"/>
  <c r="AA147" i="2"/>
  <c r="AB147" i="2"/>
  <c r="L88" i="2"/>
  <c r="F142" i="2"/>
  <c r="T116" i="2"/>
  <c r="S117" i="2"/>
  <c r="U117" i="2"/>
  <c r="D143" i="2"/>
  <c r="G143" i="2"/>
  <c r="D144" i="2"/>
  <c r="D145" i="2"/>
  <c r="AA148" i="2"/>
  <c r="Z148" i="2"/>
  <c r="Y148" i="2"/>
  <c r="AB148" i="2"/>
  <c r="N88" i="2"/>
  <c r="M88" i="2"/>
  <c r="F143" i="2"/>
  <c r="T117" i="2"/>
  <c r="R118" i="2"/>
  <c r="R119" i="2"/>
  <c r="E144" i="2"/>
  <c r="E145" i="2"/>
  <c r="Y149" i="2"/>
  <c r="Z149" i="2"/>
  <c r="AB149" i="2"/>
  <c r="K89" i="2"/>
  <c r="F144" i="2"/>
  <c r="F145" i="2"/>
  <c r="G144" i="2"/>
  <c r="G145" i="2"/>
  <c r="S118" i="2"/>
  <c r="U118" i="2"/>
  <c r="U119" i="2"/>
  <c r="AA150" i="2"/>
  <c r="AB150" i="2"/>
  <c r="Z150" i="2"/>
  <c r="Y150" i="2"/>
  <c r="L89" i="2"/>
  <c r="N89" i="2"/>
  <c r="AA149" i="2"/>
  <c r="E146" i="2"/>
  <c r="D146" i="2"/>
  <c r="T118" i="2"/>
  <c r="T119" i="2"/>
  <c r="S119" i="2"/>
  <c r="R120" i="2"/>
  <c r="Y151" i="2"/>
  <c r="Z151" i="2"/>
  <c r="AB151" i="2"/>
  <c r="M89" i="2"/>
  <c r="K90" i="2"/>
  <c r="G146" i="2"/>
  <c r="D147" i="2"/>
  <c r="E147" i="2"/>
  <c r="F147" i="2"/>
  <c r="F146" i="2"/>
  <c r="S120" i="2"/>
  <c r="T120" i="2"/>
  <c r="AA151" i="2"/>
  <c r="Z152" i="2"/>
  <c r="Y152" i="2"/>
  <c r="AB152" i="2"/>
  <c r="AA152" i="2"/>
  <c r="L90" i="2"/>
  <c r="G147" i="2"/>
  <c r="U120" i="2"/>
  <c r="N90" i="2"/>
  <c r="Y153" i="2"/>
  <c r="Z153" i="2"/>
  <c r="AB153" i="2"/>
  <c r="M90" i="2"/>
  <c r="D148" i="2"/>
  <c r="G148" i="2"/>
  <c r="D149" i="2"/>
  <c r="E149" i="2"/>
  <c r="E148" i="2"/>
  <c r="R121" i="2"/>
  <c r="S121" i="2"/>
  <c r="U121" i="2"/>
  <c r="AA153" i="2"/>
  <c r="Z154" i="2"/>
  <c r="Y154" i="2"/>
  <c r="AA154" i="2"/>
  <c r="AB154" i="2"/>
  <c r="K91" i="2"/>
  <c r="F148" i="2"/>
  <c r="G149" i="2"/>
  <c r="E150" i="2"/>
  <c r="F149" i="2"/>
  <c r="T121" i="2"/>
  <c r="R122" i="2"/>
  <c r="S122" i="2"/>
  <c r="T122" i="2"/>
  <c r="Y155" i="2"/>
  <c r="Z155" i="2"/>
  <c r="AB155" i="2"/>
  <c r="L91" i="2"/>
  <c r="D150" i="2"/>
  <c r="G150" i="2"/>
  <c r="D151" i="2"/>
  <c r="F150" i="2"/>
  <c r="U122" i="2"/>
  <c r="Y156" i="2"/>
  <c r="AB156" i="2"/>
  <c r="AA156" i="2"/>
  <c r="Z156" i="2"/>
  <c r="N91" i="2"/>
  <c r="AA155" i="2"/>
  <c r="M91" i="2"/>
  <c r="R123" i="2"/>
  <c r="S123" i="2"/>
  <c r="T123" i="2"/>
  <c r="E151" i="2"/>
  <c r="G151" i="2"/>
  <c r="K92" i="2"/>
  <c r="Y157" i="2"/>
  <c r="Y158" i="2"/>
  <c r="U123" i="2"/>
  <c r="Z157" i="2"/>
  <c r="Z158" i="2"/>
  <c r="D152" i="2"/>
  <c r="E152" i="2"/>
  <c r="F151" i="2"/>
  <c r="K93" i="2"/>
  <c r="L92" i="2"/>
  <c r="M92" i="2"/>
  <c r="M93" i="2"/>
  <c r="R124" i="2"/>
  <c r="S124" i="2"/>
  <c r="F152" i="2"/>
  <c r="G152" i="2"/>
  <c r="D153" i="2"/>
  <c r="E153" i="2"/>
  <c r="G153" i="2"/>
  <c r="E154" i="2"/>
  <c r="AA157" i="2"/>
  <c r="AA158" i="2"/>
  <c r="AB157" i="2"/>
  <c r="AB158" i="2"/>
  <c r="Z159" i="2"/>
  <c r="L93" i="2"/>
  <c r="N92" i="2"/>
  <c r="N93" i="2"/>
  <c r="U124" i="2"/>
  <c r="T124" i="2"/>
  <c r="Y159" i="2"/>
  <c r="F153" i="2"/>
  <c r="AA159" i="2"/>
  <c r="AB159" i="2"/>
  <c r="Y160" i="2"/>
  <c r="D154" i="2"/>
  <c r="G154" i="2"/>
  <c r="D155" i="2"/>
  <c r="K94" i="2"/>
  <c r="F154" i="2"/>
  <c r="R125" i="2"/>
  <c r="S125" i="2"/>
  <c r="U125" i="2"/>
  <c r="E155" i="2"/>
  <c r="G155" i="2"/>
  <c r="Z160" i="2"/>
  <c r="AA160" i="2"/>
  <c r="L94" i="2"/>
  <c r="T125" i="2"/>
  <c r="R126" i="2"/>
  <c r="S126" i="2"/>
  <c r="T126" i="2"/>
  <c r="F155" i="2"/>
  <c r="D156" i="2"/>
  <c r="E156" i="2"/>
  <c r="N94" i="2"/>
  <c r="M94" i="2"/>
  <c r="AB160" i="2"/>
  <c r="U126" i="2"/>
  <c r="R127" i="2"/>
  <c r="S127" i="2"/>
  <c r="U127" i="2"/>
  <c r="F156" i="2"/>
  <c r="G156" i="2"/>
  <c r="D157" i="2"/>
  <c r="D158" i="2"/>
  <c r="K95" i="2"/>
  <c r="AA161" i="2"/>
  <c r="AB161" i="2"/>
  <c r="Z161" i="2"/>
  <c r="Y161" i="2"/>
  <c r="R128" i="2"/>
  <c r="T127" i="2"/>
  <c r="E157" i="2"/>
  <c r="F157" i="2"/>
  <c r="F158" i="2"/>
  <c r="Y162" i="2"/>
  <c r="L95" i="2"/>
  <c r="M95" i="2"/>
  <c r="S128" i="2"/>
  <c r="T128" i="2"/>
  <c r="G157" i="2"/>
  <c r="G158" i="2"/>
  <c r="D159" i="2"/>
  <c r="E158" i="2"/>
  <c r="Z162" i="2"/>
  <c r="AB162" i="2"/>
  <c r="N95" i="2"/>
  <c r="U128" i="2"/>
  <c r="R129" i="2"/>
  <c r="S129" i="2"/>
  <c r="U129" i="2"/>
  <c r="E159" i="2"/>
  <c r="F159" i="2"/>
  <c r="AA162" i="2"/>
  <c r="Y163" i="2"/>
  <c r="AA163" i="2"/>
  <c r="AB163" i="2"/>
  <c r="Z163" i="2"/>
  <c r="K96" i="2"/>
  <c r="T129" i="2"/>
  <c r="R130" i="2"/>
  <c r="G159" i="2"/>
  <c r="D160" i="2"/>
  <c r="E160" i="2"/>
  <c r="G160" i="2"/>
  <c r="D161" i="2"/>
  <c r="Y164" i="2"/>
  <c r="Z164" i="2"/>
  <c r="L96" i="2"/>
  <c r="M96" i="2"/>
  <c r="S130" i="2"/>
  <c r="T130" i="2"/>
  <c r="E161" i="2"/>
  <c r="F161" i="2"/>
  <c r="F160" i="2"/>
  <c r="AB164" i="2"/>
  <c r="AA164" i="2"/>
  <c r="N96" i="2"/>
  <c r="G161" i="2"/>
  <c r="D162" i="2"/>
  <c r="E162" i="2"/>
  <c r="U130" i="2"/>
  <c r="K97" i="2"/>
  <c r="AA165" i="2"/>
  <c r="AB165" i="2"/>
  <c r="Z165" i="2"/>
  <c r="Y165" i="2"/>
  <c r="F162" i="2"/>
  <c r="G162" i="2"/>
  <c r="E163" i="2"/>
  <c r="R131" i="2"/>
  <c r="R132" i="2"/>
  <c r="L97" i="2"/>
  <c r="Y166" i="2"/>
  <c r="Z166" i="2"/>
  <c r="AB166" i="2"/>
  <c r="D163" i="2"/>
  <c r="G163" i="2"/>
  <c r="D164" i="2"/>
  <c r="E164" i="2"/>
  <c r="G164" i="2"/>
  <c r="S131" i="2"/>
  <c r="S132" i="2"/>
  <c r="F163" i="2"/>
  <c r="Y167" i="2"/>
  <c r="AB167" i="2"/>
  <c r="Z167" i="2"/>
  <c r="AA167" i="2"/>
  <c r="N97" i="2"/>
  <c r="AA166" i="2"/>
  <c r="M97" i="2"/>
  <c r="T131" i="2"/>
  <c r="T132" i="2"/>
  <c r="U131" i="2"/>
  <c r="U132" i="2"/>
  <c r="R133" i="2"/>
  <c r="S133" i="2"/>
  <c r="U133" i="2"/>
  <c r="F164" i="2"/>
  <c r="D165" i="2"/>
  <c r="F165" i="2"/>
  <c r="E165" i="2"/>
  <c r="Y168" i="2"/>
  <c r="K98" i="2"/>
  <c r="R134" i="2"/>
  <c r="S134" i="2"/>
  <c r="U134" i="2"/>
  <c r="T133" i="2"/>
  <c r="G165" i="2"/>
  <c r="D166" i="2"/>
  <c r="E166" i="2"/>
  <c r="G166" i="2"/>
  <c r="L98" i="2"/>
  <c r="M98" i="2"/>
  <c r="Z168" i="2"/>
  <c r="AB168" i="2"/>
  <c r="R135" i="2"/>
  <c r="S135" i="2"/>
  <c r="U135" i="2"/>
  <c r="T134" i="2"/>
  <c r="F166" i="2"/>
  <c r="E167" i="2"/>
  <c r="D167" i="2"/>
  <c r="F167" i="2"/>
  <c r="AA169" i="2"/>
  <c r="Z169" i="2"/>
  <c r="AB169" i="2"/>
  <c r="Y169" i="2"/>
  <c r="N98" i="2"/>
  <c r="AA168" i="2"/>
  <c r="R136" i="2"/>
  <c r="T135" i="2"/>
  <c r="G167" i="2"/>
  <c r="D168" i="2"/>
  <c r="K99" i="2"/>
  <c r="Y170" i="2"/>
  <c r="Y171" i="2"/>
  <c r="S136" i="2"/>
  <c r="U136" i="2"/>
  <c r="R137" i="2"/>
  <c r="E168" i="2"/>
  <c r="G168" i="2"/>
  <c r="L99" i="2"/>
  <c r="M99" i="2"/>
  <c r="Z170" i="2"/>
  <c r="T136" i="2"/>
  <c r="S137" i="2"/>
  <c r="T137" i="2"/>
  <c r="E169" i="2"/>
  <c r="D169" i="2"/>
  <c r="F168" i="2"/>
  <c r="N99" i="2"/>
  <c r="Z171" i="2"/>
  <c r="AB170" i="2"/>
  <c r="AB171" i="2"/>
  <c r="AA170" i="2"/>
  <c r="AA171" i="2"/>
  <c r="U137" i="2"/>
  <c r="R138" i="2"/>
  <c r="S138" i="2"/>
  <c r="U138" i="2"/>
  <c r="G169" i="2"/>
  <c r="D170" i="2"/>
  <c r="D171" i="2"/>
  <c r="F169" i="2"/>
  <c r="Y172" i="2"/>
  <c r="AA172" i="2"/>
  <c r="Z172" i="2"/>
  <c r="AB172" i="2"/>
  <c r="K100" i="2"/>
  <c r="R139" i="2"/>
  <c r="S139" i="2"/>
  <c r="T138" i="2"/>
  <c r="E170" i="2"/>
  <c r="E171" i="2"/>
  <c r="Y173" i="2"/>
  <c r="Z173" i="2"/>
  <c r="AB173" i="2"/>
  <c r="L100" i="2"/>
  <c r="G170" i="2"/>
  <c r="G171" i="2"/>
  <c r="E172" i="2"/>
  <c r="G172" i="2"/>
  <c r="F170" i="2"/>
  <c r="F171" i="2"/>
  <c r="T139" i="2"/>
  <c r="U139" i="2"/>
  <c r="AA173" i="2"/>
  <c r="Z174" i="2"/>
  <c r="Y174" i="2"/>
  <c r="AB174" i="2"/>
  <c r="AA174" i="2"/>
  <c r="N100" i="2"/>
  <c r="M100" i="2"/>
  <c r="D172" i="2"/>
  <c r="R140" i="2"/>
  <c r="S140" i="2"/>
  <c r="U140" i="2"/>
  <c r="F172" i="2"/>
  <c r="K101" i="2"/>
  <c r="D173" i="2"/>
  <c r="E173" i="2"/>
  <c r="G173" i="2"/>
  <c r="Y175" i="2"/>
  <c r="Z175" i="2"/>
  <c r="R141" i="2"/>
  <c r="S141" i="2"/>
  <c r="T141" i="2"/>
  <c r="T140" i="2"/>
  <c r="AA175" i="2"/>
  <c r="F173" i="2"/>
  <c r="D174" i="2"/>
  <c r="F174" i="2"/>
  <c r="E174" i="2"/>
  <c r="L101" i="2"/>
  <c r="AB175" i="2"/>
  <c r="U141" i="2"/>
  <c r="G174" i="2"/>
  <c r="D175" i="2"/>
  <c r="E175" i="2"/>
  <c r="N101" i="2"/>
  <c r="AA176" i="2"/>
  <c r="AB176" i="2"/>
  <c r="Y176" i="2"/>
  <c r="Z176" i="2"/>
  <c r="M101" i="2"/>
  <c r="R142" i="2"/>
  <c r="S142" i="2"/>
  <c r="U142" i="2"/>
  <c r="G175" i="2"/>
  <c r="E176" i="2"/>
  <c r="F175" i="2"/>
  <c r="K102" i="2"/>
  <c r="Y177" i="2"/>
  <c r="Z177" i="2"/>
  <c r="R143" i="2"/>
  <c r="S143" i="2"/>
  <c r="T143" i="2"/>
  <c r="T142" i="2"/>
  <c r="F176" i="2"/>
  <c r="D176" i="2"/>
  <c r="G176" i="2"/>
  <c r="D177" i="2"/>
  <c r="E177" i="2"/>
  <c r="G177" i="2"/>
  <c r="AB177" i="2"/>
  <c r="AA177" i="2"/>
  <c r="L102" i="2"/>
  <c r="N102" i="2"/>
  <c r="U143" i="2"/>
  <c r="F177" i="2"/>
  <c r="K103" i="2"/>
  <c r="M102" i="2"/>
  <c r="AA178" i="2"/>
  <c r="AB178" i="2"/>
  <c r="Z178" i="2"/>
  <c r="Y178" i="2"/>
  <c r="D178" i="2"/>
  <c r="E178" i="2"/>
  <c r="F178" i="2"/>
  <c r="R144" i="2"/>
  <c r="R145" i="2"/>
  <c r="G178" i="2"/>
  <c r="D179" i="2"/>
  <c r="E179" i="2"/>
  <c r="G179" i="2"/>
  <c r="L103" i="2"/>
  <c r="Y179" i="2"/>
  <c r="Z179" i="2"/>
  <c r="S144" i="2"/>
  <c r="S145" i="2"/>
  <c r="AB179" i="2"/>
  <c r="AA179" i="2"/>
  <c r="E180" i="2"/>
  <c r="D180" i="2"/>
  <c r="N103" i="2"/>
  <c r="F179" i="2"/>
  <c r="M103" i="2"/>
  <c r="F180" i="2"/>
  <c r="U144" i="2"/>
  <c r="U145" i="2"/>
  <c r="R146" i="2"/>
  <c r="T144" i="2"/>
  <c r="T145" i="2"/>
  <c r="G180" i="2"/>
  <c r="D181" i="2"/>
  <c r="E181" i="2"/>
  <c r="G181" i="2"/>
  <c r="Z180" i="2"/>
  <c r="Y180" i="2"/>
  <c r="AA180" i="2"/>
  <c r="AB180" i="2"/>
  <c r="K104" i="2"/>
  <c r="S146" i="2"/>
  <c r="T146" i="2"/>
  <c r="F181" i="2"/>
  <c r="L104" i="2"/>
  <c r="M104" i="2"/>
  <c r="E182" i="2"/>
  <c r="D182" i="2"/>
  <c r="Y181" i="2"/>
  <c r="Z181" i="2"/>
  <c r="AB181" i="2"/>
  <c r="U146" i="2"/>
  <c r="R147" i="2"/>
  <c r="G182" i="2"/>
  <c r="D183" i="2"/>
  <c r="D184" i="2"/>
  <c r="F182" i="2"/>
  <c r="Z182" i="2"/>
  <c r="AA182" i="2"/>
  <c r="AB182" i="2"/>
  <c r="Y182" i="2"/>
  <c r="AA181" i="2"/>
  <c r="N104" i="2"/>
  <c r="S147" i="2"/>
  <c r="T147" i="2"/>
  <c r="K105" i="2"/>
  <c r="Y183" i="2"/>
  <c r="Y184" i="2"/>
  <c r="E183" i="2"/>
  <c r="F183" i="2"/>
  <c r="F184" i="2"/>
  <c r="U147" i="2"/>
  <c r="R148" i="2"/>
  <c r="Z183" i="2"/>
  <c r="Z184" i="2"/>
  <c r="K106" i="2"/>
  <c r="L105" i="2"/>
  <c r="M105" i="2"/>
  <c r="M106" i="2"/>
  <c r="E184" i="2"/>
  <c r="G183" i="2"/>
  <c r="G184" i="2"/>
  <c r="S148" i="2"/>
  <c r="U148" i="2"/>
  <c r="AB183" i="2"/>
  <c r="AB184" i="2"/>
  <c r="AB185" i="2"/>
  <c r="AA183" i="2"/>
  <c r="AA184" i="2"/>
  <c r="L106" i="2"/>
  <c r="N105" i="2"/>
  <c r="N106" i="2"/>
  <c r="E185" i="2"/>
  <c r="D185" i="2"/>
  <c r="R149" i="2"/>
  <c r="T148" i="2"/>
  <c r="Z185" i="2"/>
  <c r="Y185" i="2"/>
  <c r="AA185" i="2"/>
  <c r="G185" i="2"/>
  <c r="D186" i="2"/>
  <c r="E186" i="2"/>
  <c r="F185" i="2"/>
  <c r="Y186" i="2"/>
  <c r="Z186" i="2"/>
  <c r="AB186" i="2"/>
  <c r="K107" i="2"/>
  <c r="S149" i="2"/>
  <c r="AB187" i="2"/>
  <c r="Z187" i="2"/>
  <c r="Y187" i="2"/>
  <c r="AA187" i="2"/>
  <c r="F186" i="2"/>
  <c r="G186" i="2"/>
  <c r="L107" i="2"/>
  <c r="AA186" i="2"/>
  <c r="U149" i="2"/>
  <c r="T149" i="2"/>
  <c r="Y188" i="2"/>
  <c r="Z188" i="2"/>
  <c r="N107" i="2"/>
  <c r="D187" i="2"/>
  <c r="G187" i="2"/>
  <c r="E187" i="2"/>
  <c r="M107" i="2"/>
  <c r="F187" i="2"/>
  <c r="R150" i="2"/>
  <c r="S150" i="2"/>
  <c r="T150" i="2"/>
  <c r="AA188" i="2"/>
  <c r="AB188" i="2"/>
  <c r="AA189" i="2"/>
  <c r="D188" i="2"/>
  <c r="E188" i="2"/>
  <c r="K108" i="2"/>
  <c r="U150" i="2"/>
  <c r="Z189" i="2"/>
  <c r="AB189" i="2"/>
  <c r="Y190" i="2"/>
  <c r="Y189" i="2"/>
  <c r="F188" i="2"/>
  <c r="G188" i="2"/>
  <c r="L108" i="2"/>
  <c r="R151" i="2"/>
  <c r="S151" i="2"/>
  <c r="U151" i="2"/>
  <c r="Z190" i="2"/>
  <c r="AB190" i="2"/>
  <c r="Y191" i="2"/>
  <c r="E189" i="2"/>
  <c r="D189" i="2"/>
  <c r="N108" i="2"/>
  <c r="M108" i="2"/>
  <c r="G189" i="2"/>
  <c r="D190" i="2"/>
  <c r="E190" i="2"/>
  <c r="G190" i="2"/>
  <c r="R152" i="2"/>
  <c r="T151" i="2"/>
  <c r="F189" i="2"/>
  <c r="AA190" i="2"/>
  <c r="AB191" i="2"/>
  <c r="Y192" i="2"/>
  <c r="Z192" i="2"/>
  <c r="AB192" i="2"/>
  <c r="AA191" i="2"/>
  <c r="Z191" i="2"/>
  <c r="K109" i="2"/>
  <c r="S152" i="2"/>
  <c r="U152" i="2"/>
  <c r="F190" i="2"/>
  <c r="AA193" i="2"/>
  <c r="Z193" i="2"/>
  <c r="Y193" i="2"/>
  <c r="AB193" i="2"/>
  <c r="D191" i="2"/>
  <c r="F191" i="2"/>
  <c r="E191" i="2"/>
  <c r="L109" i="2"/>
  <c r="AA192" i="2"/>
  <c r="T152" i="2"/>
  <c r="R153" i="2"/>
  <c r="S153" i="2"/>
  <c r="T153" i="2"/>
  <c r="G191" i="2"/>
  <c r="D192" i="2"/>
  <c r="Y194" i="2"/>
  <c r="N109" i="2"/>
  <c r="M109" i="2"/>
  <c r="U153" i="2"/>
  <c r="E192" i="2"/>
  <c r="G192" i="2"/>
  <c r="D193" i="2"/>
  <c r="Z194" i="2"/>
  <c r="AB194" i="2"/>
  <c r="K110" i="2"/>
  <c r="F192" i="2"/>
  <c r="R154" i="2"/>
  <c r="S154" i="2"/>
  <c r="T154" i="2"/>
  <c r="E193" i="2"/>
  <c r="G193" i="2"/>
  <c r="D194" i="2"/>
  <c r="AA194" i="2"/>
  <c r="L110" i="2"/>
  <c r="Y195" i="2"/>
  <c r="AB195" i="2"/>
  <c r="AA195" i="2"/>
  <c r="Z195" i="2"/>
  <c r="F193" i="2"/>
  <c r="U154" i="2"/>
  <c r="E194" i="2"/>
  <c r="G194" i="2"/>
  <c r="E195" i="2"/>
  <c r="N110" i="2"/>
  <c r="M110" i="2"/>
  <c r="Y196" i="2"/>
  <c r="Y197" i="2"/>
  <c r="R155" i="2"/>
  <c r="D195" i="2"/>
  <c r="F195" i="2"/>
  <c r="F194" i="2"/>
  <c r="K111" i="2"/>
  <c r="Z196" i="2"/>
  <c r="S155" i="2"/>
  <c r="U155" i="2"/>
  <c r="R156" i="2"/>
  <c r="G195" i="2"/>
  <c r="D196" i="2"/>
  <c r="D197" i="2"/>
  <c r="L111" i="2"/>
  <c r="Z197" i="2"/>
  <c r="AA196" i="2"/>
  <c r="AA197" i="2"/>
  <c r="AB196" i="2"/>
  <c r="AB197" i="2"/>
  <c r="T155" i="2"/>
  <c r="S156" i="2"/>
  <c r="T156" i="2"/>
  <c r="E196" i="2"/>
  <c r="F196" i="2"/>
  <c r="F197" i="2"/>
  <c r="N111" i="2"/>
  <c r="M111" i="2"/>
  <c r="Y198" i="2"/>
  <c r="AB198" i="2"/>
  <c r="AA198" i="2"/>
  <c r="Z198" i="2"/>
  <c r="G196" i="2"/>
  <c r="G197" i="2"/>
  <c r="D198" i="2"/>
  <c r="U156" i="2"/>
  <c r="R157" i="2"/>
  <c r="R158" i="2"/>
  <c r="E197" i="2"/>
  <c r="K112" i="2"/>
  <c r="Y199" i="2"/>
  <c r="Z199" i="2"/>
  <c r="AB199" i="2"/>
  <c r="E198" i="2"/>
  <c r="F198" i="2"/>
  <c r="S157" i="2"/>
  <c r="G198" i="2"/>
  <c r="D199" i="2"/>
  <c r="E199" i="2"/>
  <c r="AA199" i="2"/>
  <c r="AA200" i="2"/>
  <c r="AB200" i="2"/>
  <c r="Z200" i="2"/>
  <c r="Y200" i="2"/>
  <c r="L112" i="2"/>
  <c r="M112" i="2"/>
  <c r="S158" i="2"/>
  <c r="U157" i="2"/>
  <c r="U158" i="2"/>
  <c r="T157" i="2"/>
  <c r="T158" i="2"/>
  <c r="G199" i="2"/>
  <c r="N112" i="2"/>
  <c r="Y201" i="2"/>
  <c r="F199" i="2"/>
  <c r="R159" i="2"/>
  <c r="S159" i="2"/>
  <c r="Z201" i="2"/>
  <c r="AB201" i="2"/>
  <c r="Y202" i="2"/>
  <c r="D200" i="2"/>
  <c r="F200" i="2"/>
  <c r="E200" i="2"/>
  <c r="K113" i="2"/>
  <c r="T159" i="2"/>
  <c r="U159" i="2"/>
  <c r="G200" i="2"/>
  <c r="D201" i="2"/>
  <c r="AB202" i="2"/>
  <c r="Y203" i="2"/>
  <c r="Z203" i="2"/>
  <c r="AB203" i="2"/>
  <c r="Z202" i="2"/>
  <c r="AA202" i="2"/>
  <c r="AA201" i="2"/>
  <c r="L113" i="2"/>
  <c r="R160" i="2"/>
  <c r="S160" i="2"/>
  <c r="U160" i="2"/>
  <c r="E201" i="2"/>
  <c r="F201" i="2"/>
  <c r="Z204" i="2"/>
  <c r="Y204" i="2"/>
  <c r="AA204" i="2"/>
  <c r="AB204" i="2"/>
  <c r="AA203" i="2"/>
  <c r="N113" i="2"/>
  <c r="M113" i="2"/>
  <c r="G201" i="2"/>
  <c r="D202" i="2"/>
  <c r="R161" i="2"/>
  <c r="S161" i="2"/>
  <c r="T160" i="2"/>
  <c r="Y205" i="2"/>
  <c r="Z205" i="2"/>
  <c r="K114" i="2"/>
  <c r="E202" i="2"/>
  <c r="G202" i="2"/>
  <c r="D203" i="2"/>
  <c r="E203" i="2"/>
  <c r="F202" i="2"/>
  <c r="U161" i="2"/>
  <c r="T161" i="2"/>
  <c r="AB205" i="2"/>
  <c r="AA206" i="2"/>
  <c r="AA205" i="2"/>
  <c r="L114" i="2"/>
  <c r="R162" i="2"/>
  <c r="Y206" i="2"/>
  <c r="AB206" i="2"/>
  <c r="Y207" i="2"/>
  <c r="Z206" i="2"/>
  <c r="G203" i="2"/>
  <c r="F203" i="2"/>
  <c r="N114" i="2"/>
  <c r="M114" i="2"/>
  <c r="S162" i="2"/>
  <c r="U162" i="2"/>
  <c r="Z207" i="2"/>
  <c r="AB207" i="2"/>
  <c r="AB208" i="2"/>
  <c r="D204" i="2"/>
  <c r="F204" i="2"/>
  <c r="E204" i="2"/>
  <c r="K115" i="2"/>
  <c r="T162" i="2"/>
  <c r="R163" i="2"/>
  <c r="G204" i="2"/>
  <c r="D205" i="2"/>
  <c r="E205" i="2"/>
  <c r="G205" i="2"/>
  <c r="AA207" i="2"/>
  <c r="Z208" i="2"/>
  <c r="AA208" i="2"/>
  <c r="Y208" i="2"/>
  <c r="L115" i="2"/>
  <c r="N115" i="2"/>
  <c r="Y209" i="2"/>
  <c r="S163" i="2"/>
  <c r="T163" i="2"/>
  <c r="Y210" i="2"/>
  <c r="E206" i="2"/>
  <c r="D206" i="2"/>
  <c r="K116" i="2"/>
  <c r="F205" i="2"/>
  <c r="M115" i="2"/>
  <c r="Z209" i="2"/>
  <c r="F206" i="2"/>
  <c r="U163" i="2"/>
  <c r="R164" i="2"/>
  <c r="S164" i="2"/>
  <c r="U164" i="2"/>
  <c r="G206" i="2"/>
  <c r="D207" i="2"/>
  <c r="E207" i="2"/>
  <c r="L116" i="2"/>
  <c r="M116" i="2"/>
  <c r="Z210" i="2"/>
  <c r="AA209" i="2"/>
  <c r="AA210" i="2"/>
  <c r="AB209" i="2"/>
  <c r="AB210" i="2"/>
  <c r="R165" i="2"/>
  <c r="S165" i="2"/>
  <c r="T164" i="2"/>
  <c r="G207" i="2"/>
  <c r="F207" i="2"/>
  <c r="Z211" i="2"/>
  <c r="Y211" i="2"/>
  <c r="AA211" i="2"/>
  <c r="AB211" i="2"/>
  <c r="N116" i="2"/>
  <c r="U165" i="2"/>
  <c r="T165" i="2"/>
  <c r="D208" i="2"/>
  <c r="F208" i="2"/>
  <c r="E208" i="2"/>
  <c r="K117" i="2"/>
  <c r="Y212" i="2"/>
  <c r="Z212" i="2"/>
  <c r="AB212" i="2"/>
  <c r="R166" i="2"/>
  <c r="G208" i="2"/>
  <c r="D209" i="2"/>
  <c r="D210" i="2"/>
  <c r="AA212" i="2"/>
  <c r="Z213" i="2"/>
  <c r="Y213" i="2"/>
  <c r="AA213" i="2"/>
  <c r="AB213" i="2"/>
  <c r="L117" i="2"/>
  <c r="M117" i="2"/>
  <c r="S166" i="2"/>
  <c r="U166" i="2"/>
  <c r="E209" i="2"/>
  <c r="E210" i="2"/>
  <c r="N117" i="2"/>
  <c r="Y214" i="2"/>
  <c r="Z214" i="2"/>
  <c r="AB214" i="2"/>
  <c r="T166" i="2"/>
  <c r="R167" i="2"/>
  <c r="S167" i="2"/>
  <c r="AA214" i="2"/>
  <c r="F209" i="2"/>
  <c r="F210" i="2"/>
  <c r="G209" i="2"/>
  <c r="G210" i="2"/>
  <c r="E211" i="2"/>
  <c r="K118" i="2"/>
  <c r="AA215" i="2"/>
  <c r="AB215" i="2"/>
  <c r="Z215" i="2"/>
  <c r="Y215" i="2"/>
  <c r="U167" i="2"/>
  <c r="T167" i="2"/>
  <c r="D211" i="2"/>
  <c r="F211" i="2"/>
  <c r="K119" i="2"/>
  <c r="L118" i="2"/>
  <c r="M118" i="2"/>
  <c r="M119" i="2"/>
  <c r="Y216" i="2"/>
  <c r="Z216" i="2"/>
  <c r="AB216" i="2"/>
  <c r="R168" i="2"/>
  <c r="S168" i="2"/>
  <c r="U168" i="2"/>
  <c r="G211" i="2"/>
  <c r="D212" i="2"/>
  <c r="E212" i="2"/>
  <c r="Z217" i="2"/>
  <c r="Y217" i="2"/>
  <c r="AA217" i="2"/>
  <c r="AB217" i="2"/>
  <c r="L119" i="2"/>
  <c r="N118" i="2"/>
  <c r="N119" i="2"/>
  <c r="AA216" i="2"/>
  <c r="R169" i="2"/>
  <c r="S169" i="2"/>
  <c r="T169" i="2"/>
  <c r="T168" i="2"/>
  <c r="G212" i="2"/>
  <c r="E213" i="2"/>
  <c r="F212" i="2"/>
  <c r="K120" i="2"/>
  <c r="Y218" i="2"/>
  <c r="Z218" i="2"/>
  <c r="AB218" i="2"/>
  <c r="U169" i="2"/>
  <c r="D213" i="2"/>
  <c r="G213" i="2"/>
  <c r="D214" i="2"/>
  <c r="AA218" i="2"/>
  <c r="AA219" i="2"/>
  <c r="AB219" i="2"/>
  <c r="Z219" i="2"/>
  <c r="Y219" i="2"/>
  <c r="L120" i="2"/>
  <c r="F213" i="2"/>
  <c r="R170" i="2"/>
  <c r="R171" i="2"/>
  <c r="Y220" i="2"/>
  <c r="Z220" i="2"/>
  <c r="AB220" i="2"/>
  <c r="E214" i="2"/>
  <c r="G214" i="2"/>
  <c r="N120" i="2"/>
  <c r="M120" i="2"/>
  <c r="S170" i="2"/>
  <c r="AA220" i="2"/>
  <c r="F214" i="2"/>
  <c r="AA221" i="2"/>
  <c r="AB221" i="2"/>
  <c r="Z221" i="2"/>
  <c r="Y221" i="2"/>
  <c r="D215" i="2"/>
  <c r="F215" i="2"/>
  <c r="E215" i="2"/>
  <c r="K121" i="2"/>
  <c r="S171" i="2"/>
  <c r="U170" i="2"/>
  <c r="U171" i="2"/>
  <c r="T170" i="2"/>
  <c r="T171" i="2"/>
  <c r="G215" i="2"/>
  <c r="D216" i="2"/>
  <c r="E216" i="2"/>
  <c r="G216" i="2"/>
  <c r="L121" i="2"/>
  <c r="M121" i="2"/>
  <c r="Y222" i="2"/>
  <c r="Y223" i="2"/>
  <c r="R172" i="2"/>
  <c r="E217" i="2"/>
  <c r="D217" i="2"/>
  <c r="N121" i="2"/>
  <c r="Z222" i="2"/>
  <c r="AA222" i="2"/>
  <c r="AA223" i="2"/>
  <c r="F216" i="2"/>
  <c r="S172" i="2"/>
  <c r="U172" i="2"/>
  <c r="R173" i="2"/>
  <c r="S173" i="2"/>
  <c r="G217" i="2"/>
  <c r="D218" i="2"/>
  <c r="F217" i="2"/>
  <c r="Z223" i="2"/>
  <c r="AB222" i="2"/>
  <c r="AB223" i="2"/>
  <c r="K122" i="2"/>
  <c r="T172" i="2"/>
  <c r="T173" i="2"/>
  <c r="U173" i="2"/>
  <c r="E218" i="2"/>
  <c r="G218" i="2"/>
  <c r="L122" i="2"/>
  <c r="Z224" i="2"/>
  <c r="Y224" i="2"/>
  <c r="AA224" i="2"/>
  <c r="AB224" i="2"/>
  <c r="R174" i="2"/>
  <c r="S174" i="2"/>
  <c r="T174" i="2"/>
  <c r="F219" i="2"/>
  <c r="E219" i="2"/>
  <c r="D219" i="2"/>
  <c r="F218" i="2"/>
  <c r="N122" i="2"/>
  <c r="M122" i="2"/>
  <c r="Y225" i="2"/>
  <c r="G219" i="2"/>
  <c r="D220" i="2"/>
  <c r="U174" i="2"/>
  <c r="Z225" i="2"/>
  <c r="K123" i="2"/>
  <c r="E220" i="2"/>
  <c r="G220" i="2"/>
  <c r="D221" i="2"/>
  <c r="R175" i="2"/>
  <c r="L123" i="2"/>
  <c r="AB225" i="2"/>
  <c r="AA225" i="2"/>
  <c r="F221" i="2"/>
  <c r="F220" i="2"/>
  <c r="E221" i="2"/>
  <c r="G221" i="2"/>
  <c r="D222" i="2"/>
  <c r="D223" i="2"/>
  <c r="S175" i="2"/>
  <c r="U175" i="2"/>
  <c r="N123" i="2"/>
  <c r="M123" i="2"/>
  <c r="AA226" i="2"/>
  <c r="AB226" i="2"/>
  <c r="Z226" i="2"/>
  <c r="Y226" i="2"/>
  <c r="E222" i="2"/>
  <c r="F222" i="2"/>
  <c r="F223" i="2"/>
  <c r="T175" i="2"/>
  <c r="R176" i="2"/>
  <c r="S176" i="2"/>
  <c r="T176" i="2"/>
  <c r="K124" i="2"/>
  <c r="Y227" i="2"/>
  <c r="Z227" i="2"/>
  <c r="AB227" i="2"/>
  <c r="E223" i="2"/>
  <c r="G222" i="2"/>
  <c r="G223" i="2"/>
  <c r="D224" i="2"/>
  <c r="U176" i="2"/>
  <c r="AA227" i="2"/>
  <c r="AB228" i="2"/>
  <c r="AA228" i="2"/>
  <c r="Z228" i="2"/>
  <c r="Y228" i="2"/>
  <c r="L124" i="2"/>
  <c r="M124" i="2"/>
  <c r="F224" i="2"/>
  <c r="E224" i="2"/>
  <c r="G224" i="2"/>
  <c r="D225" i="2"/>
  <c r="E225" i="2"/>
  <c r="R177" i="2"/>
  <c r="S177" i="2"/>
  <c r="U177" i="2"/>
  <c r="Y229" i="2"/>
  <c r="Z229" i="2"/>
  <c r="AB229" i="2"/>
  <c r="N124" i="2"/>
  <c r="R178" i="2"/>
  <c r="S178" i="2"/>
  <c r="T178" i="2"/>
  <c r="T177" i="2"/>
  <c r="AA229" i="2"/>
  <c r="Z230" i="2"/>
  <c r="Y230" i="2"/>
  <c r="AA230" i="2"/>
  <c r="AB230" i="2"/>
  <c r="F225" i="2"/>
  <c r="G225" i="2"/>
  <c r="K125" i="2"/>
  <c r="U178" i="2"/>
  <c r="E226" i="2"/>
  <c r="D226" i="2"/>
  <c r="L125" i="2"/>
  <c r="Y231" i="2"/>
  <c r="Z231" i="2"/>
  <c r="G226" i="2"/>
  <c r="D227" i="2"/>
  <c r="E227" i="2"/>
  <c r="F227" i="2"/>
  <c r="R179" i="2"/>
  <c r="S179" i="2"/>
  <c r="U179" i="2"/>
  <c r="F226" i="2"/>
  <c r="AB231" i="2"/>
  <c r="Y232" i="2"/>
  <c r="AA231" i="2"/>
  <c r="N125" i="2"/>
  <c r="M125" i="2"/>
  <c r="R180" i="2"/>
  <c r="S180" i="2"/>
  <c r="T179" i="2"/>
  <c r="AA232" i="2"/>
  <c r="AB232" i="2"/>
  <c r="Y233" i="2"/>
  <c r="Z233" i="2"/>
  <c r="AB233" i="2"/>
  <c r="Z232" i="2"/>
  <c r="K126" i="2"/>
  <c r="G227" i="2"/>
  <c r="U180" i="2"/>
  <c r="R181" i="2"/>
  <c r="T180" i="2"/>
  <c r="Z234" i="2"/>
  <c r="Y234" i="2"/>
  <c r="AB234" i="2"/>
  <c r="AA234" i="2"/>
  <c r="L126" i="2"/>
  <c r="AA233" i="2"/>
  <c r="D228" i="2"/>
  <c r="G228" i="2"/>
  <c r="F228" i="2"/>
  <c r="E228" i="2"/>
  <c r="S181" i="2"/>
  <c r="U181" i="2"/>
  <c r="N126" i="2"/>
  <c r="M126" i="2"/>
  <c r="Y235" i="2"/>
  <c r="Y236" i="2"/>
  <c r="D229" i="2"/>
  <c r="E229" i="2"/>
  <c r="G229" i="2"/>
  <c r="T181" i="2"/>
  <c r="R182" i="2"/>
  <c r="E230" i="2"/>
  <c r="D230" i="2"/>
  <c r="Z235" i="2"/>
  <c r="AA235" i="2"/>
  <c r="AA236" i="2"/>
  <c r="K127" i="2"/>
  <c r="F229" i="2"/>
  <c r="S182" i="2"/>
  <c r="T182" i="2"/>
  <c r="G230" i="2"/>
  <c r="D231" i="2"/>
  <c r="E231" i="2"/>
  <c r="F230" i="2"/>
  <c r="Z236" i="2"/>
  <c r="AB235" i="2"/>
  <c r="AB236" i="2"/>
  <c r="L127" i="2"/>
  <c r="U182" i="2"/>
  <c r="R183" i="2"/>
  <c r="R184" i="2"/>
  <c r="G231" i="2"/>
  <c r="F231" i="2"/>
  <c r="AB237" i="2"/>
  <c r="AA237" i="2"/>
  <c r="Z237" i="2"/>
  <c r="Y237" i="2"/>
  <c r="N127" i="2"/>
  <c r="M127" i="2"/>
  <c r="S183" i="2"/>
  <c r="K128" i="2"/>
  <c r="Y238" i="2"/>
  <c r="D232" i="2"/>
  <c r="E232" i="2"/>
  <c r="F232" i="2"/>
  <c r="T183" i="2"/>
  <c r="T184" i="2"/>
  <c r="S184" i="2"/>
  <c r="U183" i="2"/>
  <c r="U184" i="2"/>
  <c r="G232" i="2"/>
  <c r="D233" i="2"/>
  <c r="E233" i="2"/>
  <c r="G233" i="2"/>
  <c r="L128" i="2"/>
  <c r="N128" i="2"/>
  <c r="Z238" i="2"/>
  <c r="AA238" i="2"/>
  <c r="R185" i="2"/>
  <c r="E234" i="2"/>
  <c r="D234" i="2"/>
  <c r="AB238" i="2"/>
  <c r="K129" i="2"/>
  <c r="F233" i="2"/>
  <c r="M128" i="2"/>
  <c r="F234" i="2"/>
  <c r="S185" i="2"/>
  <c r="U185" i="2"/>
  <c r="G234" i="2"/>
  <c r="D235" i="2"/>
  <c r="D236" i="2"/>
  <c r="L129" i="2"/>
  <c r="M129" i="2"/>
  <c r="AA239" i="2"/>
  <c r="Z239" i="2"/>
  <c r="Y239" i="2"/>
  <c r="AB239" i="2"/>
  <c r="T185" i="2"/>
  <c r="R186" i="2"/>
  <c r="S186" i="2"/>
  <c r="U186" i="2"/>
  <c r="Y240" i="2"/>
  <c r="Z240" i="2"/>
  <c r="AB240" i="2"/>
  <c r="E235" i="2"/>
  <c r="F235" i="2"/>
  <c r="F236" i="2"/>
  <c r="N129" i="2"/>
  <c r="R187" i="2"/>
  <c r="S187" i="2"/>
  <c r="T186" i="2"/>
  <c r="Z241" i="2"/>
  <c r="Y241" i="2"/>
  <c r="AA241" i="2"/>
  <c r="AB241" i="2"/>
  <c r="AA240" i="2"/>
  <c r="E236" i="2"/>
  <c r="G235" i="2"/>
  <c r="G236" i="2"/>
  <c r="K130" i="2"/>
  <c r="T187" i="2"/>
  <c r="U187" i="2"/>
  <c r="E237" i="2"/>
  <c r="D237" i="2"/>
  <c r="L130" i="2"/>
  <c r="Y242" i="2"/>
  <c r="Z242" i="2"/>
  <c r="AB242" i="2"/>
  <c r="F237" i="2"/>
  <c r="R188" i="2"/>
  <c r="G237" i="2"/>
  <c r="D238" i="2"/>
  <c r="Z243" i="2"/>
  <c r="Y243" i="2"/>
  <c r="AB243" i="2"/>
  <c r="AA243" i="2"/>
  <c r="N130" i="2"/>
  <c r="AA242" i="2"/>
  <c r="M130" i="2"/>
  <c r="S188" i="2"/>
  <c r="U188" i="2"/>
  <c r="Y244" i="2"/>
  <c r="Z244" i="2"/>
  <c r="E238" i="2"/>
  <c r="K131" i="2"/>
  <c r="T188" i="2"/>
  <c r="R189" i="2"/>
  <c r="S189" i="2"/>
  <c r="T189" i="2"/>
  <c r="AB244" i="2"/>
  <c r="AA244" i="2"/>
  <c r="G238" i="2"/>
  <c r="K132" i="2"/>
  <c r="L131" i="2"/>
  <c r="F238" i="2"/>
  <c r="U189" i="2"/>
  <c r="L132" i="2"/>
  <c r="N131" i="2"/>
  <c r="N132" i="2"/>
  <c r="Y245" i="2"/>
  <c r="AB245" i="2"/>
  <c r="AA245" i="2"/>
  <c r="Z245" i="2"/>
  <c r="E239" i="2"/>
  <c r="D239" i="2"/>
  <c r="M131" i="2"/>
  <c r="M132" i="2"/>
  <c r="R190" i="2"/>
  <c r="S190" i="2"/>
  <c r="U190" i="2"/>
  <c r="G239" i="2"/>
  <c r="D240" i="2"/>
  <c r="E240" i="2"/>
  <c r="G240" i="2"/>
  <c r="F239" i="2"/>
  <c r="Y246" i="2"/>
  <c r="K133" i="2"/>
  <c r="R191" i="2"/>
  <c r="S191" i="2"/>
  <c r="T191" i="2"/>
  <c r="T190" i="2"/>
  <c r="E241" i="2"/>
  <c r="D241" i="2"/>
  <c r="Z246" i="2"/>
  <c r="AB246" i="2"/>
  <c r="F240" i="2"/>
  <c r="L133" i="2"/>
  <c r="M133" i="2"/>
  <c r="U191" i="2"/>
  <c r="G241" i="2"/>
  <c r="D242" i="2"/>
  <c r="E242" i="2"/>
  <c r="G242" i="2"/>
  <c r="F241" i="2"/>
  <c r="AA246" i="2"/>
  <c r="Y247" i="2"/>
  <c r="AA247" i="2"/>
  <c r="AB247" i="2"/>
  <c r="Z247" i="2"/>
  <c r="N133" i="2"/>
  <c r="R192" i="2"/>
  <c r="E243" i="2"/>
  <c r="D243" i="2"/>
  <c r="K134" i="2"/>
  <c r="F242" i="2"/>
  <c r="Y248" i="2"/>
  <c r="Y249" i="2"/>
  <c r="F243" i="2"/>
  <c r="S192" i="2"/>
  <c r="U192" i="2"/>
  <c r="G243" i="2"/>
  <c r="D244" i="2"/>
  <c r="E244" i="2"/>
  <c r="L134" i="2"/>
  <c r="Z248" i="2"/>
  <c r="T192" i="2"/>
  <c r="R193" i="2"/>
  <c r="S193" i="2"/>
  <c r="U193" i="2"/>
  <c r="G244" i="2"/>
  <c r="F244" i="2"/>
  <c r="Z249" i="2"/>
  <c r="AB248" i="2"/>
  <c r="AB249" i="2"/>
  <c r="N134" i="2"/>
  <c r="AA248" i="2"/>
  <c r="AA249" i="2"/>
  <c r="M134" i="2"/>
  <c r="T193" i="2"/>
  <c r="R194" i="2"/>
  <c r="E245" i="2"/>
  <c r="D245" i="2"/>
  <c r="F245" i="2"/>
  <c r="K135" i="2"/>
  <c r="Z250" i="2"/>
  <c r="Y250" i="2"/>
  <c r="AB250" i="2"/>
  <c r="AA250" i="2"/>
  <c r="G245" i="2"/>
  <c r="D246" i="2"/>
  <c r="S194" i="2"/>
  <c r="U194" i="2"/>
  <c r="Y251" i="2"/>
  <c r="Z251" i="2"/>
  <c r="L135" i="2"/>
  <c r="T194" i="2"/>
  <c r="R195" i="2"/>
  <c r="S195" i="2"/>
  <c r="T195" i="2"/>
  <c r="E246" i="2"/>
  <c r="G246" i="2"/>
  <c r="E247" i="2"/>
  <c r="AB251" i="2"/>
  <c r="N135" i="2"/>
  <c r="M135" i="2"/>
  <c r="AA251" i="2"/>
  <c r="U195" i="2"/>
  <c r="D247" i="2"/>
  <c r="F247" i="2"/>
  <c r="F246" i="2"/>
  <c r="Y252" i="2"/>
  <c r="AB252" i="2"/>
  <c r="AA252" i="2"/>
  <c r="Z252" i="2"/>
  <c r="K136" i="2"/>
  <c r="R196" i="2"/>
  <c r="R197" i="2"/>
  <c r="G247" i="2"/>
  <c r="D248" i="2"/>
  <c r="D249" i="2"/>
  <c r="Y253" i="2"/>
  <c r="Z253" i="2"/>
  <c r="AB253" i="2"/>
  <c r="L136" i="2"/>
  <c r="M136" i="2"/>
  <c r="S196" i="2"/>
  <c r="S197" i="2"/>
  <c r="E248" i="2"/>
  <c r="E249" i="2"/>
  <c r="AA253" i="2"/>
  <c r="Y254" i="2"/>
  <c r="AA254" i="2"/>
  <c r="AB254" i="2"/>
  <c r="Z254" i="2"/>
  <c r="N136" i="2"/>
  <c r="F248" i="2"/>
  <c r="F249" i="2"/>
  <c r="G248" i="2"/>
  <c r="G249" i="2"/>
  <c r="E250" i="2"/>
  <c r="T196" i="2"/>
  <c r="T197" i="2"/>
  <c r="U196" i="2"/>
  <c r="U197" i="2"/>
  <c r="R198" i="2"/>
  <c r="K137" i="2"/>
  <c r="Y255" i="2"/>
  <c r="Z255" i="2"/>
  <c r="AB255" i="2"/>
  <c r="D250" i="2"/>
  <c r="G250" i="2"/>
  <c r="D251" i="2"/>
  <c r="S198" i="2"/>
  <c r="T198" i="2"/>
  <c r="AA255" i="2"/>
  <c r="AA256" i="2"/>
  <c r="Z256" i="2"/>
  <c r="Y256" i="2"/>
  <c r="AB256" i="2"/>
  <c r="L137" i="2"/>
  <c r="F250" i="2"/>
  <c r="E251" i="2"/>
  <c r="G251" i="2"/>
  <c r="D252" i="2"/>
  <c r="U198" i="2"/>
  <c r="N137" i="2"/>
  <c r="Y257" i="2"/>
  <c r="Z257" i="2"/>
  <c r="AB257" i="2"/>
  <c r="M137" i="2"/>
  <c r="F251" i="2"/>
  <c r="E252" i="2"/>
  <c r="F252" i="2"/>
  <c r="R199" i="2"/>
  <c r="S199" i="2"/>
  <c r="U199" i="2"/>
  <c r="R200" i="2"/>
  <c r="AA257" i="2"/>
  <c r="Z258" i="2"/>
  <c r="Y258" i="2"/>
  <c r="AA258" i="2"/>
  <c r="AB258" i="2"/>
  <c r="K138" i="2"/>
  <c r="G252" i="2"/>
  <c r="D253" i="2"/>
  <c r="T199" i="2"/>
  <c r="S200" i="2"/>
  <c r="T200" i="2"/>
  <c r="L138" i="2"/>
  <c r="Y259" i="2"/>
  <c r="Z259" i="2"/>
  <c r="AB259" i="2"/>
  <c r="E253" i="2"/>
  <c r="G253" i="2"/>
  <c r="D254" i="2"/>
  <c r="U200" i="2"/>
  <c r="R201" i="2"/>
  <c r="AA259" i="2"/>
  <c r="AA260" i="2"/>
  <c r="AB260" i="2"/>
  <c r="Z260" i="2"/>
  <c r="Y260" i="2"/>
  <c r="N138" i="2"/>
  <c r="M138" i="2"/>
  <c r="F253" i="2"/>
  <c r="E254" i="2"/>
  <c r="G254" i="2"/>
  <c r="D255" i="2"/>
  <c r="E255" i="2"/>
  <c r="G255" i="2"/>
  <c r="D256" i="2"/>
  <c r="F256" i="2"/>
  <c r="S201" i="2"/>
  <c r="U201" i="2"/>
  <c r="R202" i="2"/>
  <c r="K139" i="2"/>
  <c r="Y261" i="2"/>
  <c r="Y262" i="2"/>
  <c r="E256" i="2"/>
  <c r="F255" i="2"/>
  <c r="F254" i="2"/>
  <c r="T201" i="2"/>
  <c r="S202" i="2"/>
  <c r="T202" i="2"/>
  <c r="G256" i="2"/>
  <c r="Z261" i="2"/>
  <c r="Z262" i="2"/>
  <c r="L139" i="2"/>
  <c r="M139" i="2"/>
  <c r="U202" i="2"/>
  <c r="R203" i="2"/>
  <c r="D257" i="2"/>
  <c r="E257" i="2"/>
  <c r="F257" i="2"/>
  <c r="AA261" i="2"/>
  <c r="AA262" i="2"/>
  <c r="AB261" i="2"/>
  <c r="AB262" i="2"/>
  <c r="Y263" i="2"/>
  <c r="N139" i="2"/>
  <c r="G257" i="2"/>
  <c r="E258" i="2"/>
  <c r="S203" i="2"/>
  <c r="T203" i="2"/>
  <c r="AA263" i="2"/>
  <c r="Z263" i="2"/>
  <c r="AB263" i="2"/>
  <c r="Y264" i="2"/>
  <c r="Z264" i="2"/>
  <c r="K140" i="2"/>
  <c r="D258" i="2"/>
  <c r="G258" i="2"/>
  <c r="D259" i="2"/>
  <c r="E259" i="2"/>
  <c r="G259" i="2"/>
  <c r="D260" i="2"/>
  <c r="G260" i="2"/>
  <c r="F258" i="2"/>
  <c r="U203" i="2"/>
  <c r="R204" i="2"/>
  <c r="AB264" i="2"/>
  <c r="L140" i="2"/>
  <c r="AA264" i="2"/>
  <c r="E260" i="2"/>
  <c r="F259" i="2"/>
  <c r="F260" i="2"/>
  <c r="S204" i="2"/>
  <c r="U204" i="2"/>
  <c r="D261" i="2"/>
  <c r="D262" i="2"/>
  <c r="Z265" i="2"/>
  <c r="Y265" i="2"/>
  <c r="AA265" i="2"/>
  <c r="AB265" i="2"/>
  <c r="N140" i="2"/>
  <c r="M140" i="2"/>
  <c r="T204" i="2"/>
  <c r="R205" i="2"/>
  <c r="E261" i="2"/>
  <c r="F261" i="2"/>
  <c r="F262" i="2"/>
  <c r="K141" i="2"/>
  <c r="Y266" i="2"/>
  <c r="S205" i="2"/>
  <c r="U205" i="2"/>
  <c r="Z266" i="2"/>
  <c r="AB266" i="2"/>
  <c r="AA267" i="2"/>
  <c r="E262" i="2"/>
  <c r="G261" i="2"/>
  <c r="G262" i="2"/>
  <c r="L141" i="2"/>
  <c r="N141" i="2"/>
  <c r="T205" i="2"/>
  <c r="R206" i="2"/>
  <c r="AA266" i="2"/>
  <c r="AB267" i="2"/>
  <c r="Y268" i="2"/>
  <c r="Z268" i="2"/>
  <c r="AB268" i="2"/>
  <c r="Z267" i="2"/>
  <c r="Y267" i="2"/>
  <c r="E263" i="2"/>
  <c r="D263" i="2"/>
  <c r="K142" i="2"/>
  <c r="M141" i="2"/>
  <c r="F263" i="2"/>
  <c r="S206" i="2"/>
  <c r="T206" i="2"/>
  <c r="G263" i="2"/>
  <c r="D264" i="2"/>
  <c r="E264" i="2"/>
  <c r="G264" i="2"/>
  <c r="AA268" i="2"/>
  <c r="AB269" i="2"/>
  <c r="Z269" i="2"/>
  <c r="Y269" i="2"/>
  <c r="AA269" i="2"/>
  <c r="L142" i="2"/>
  <c r="M142" i="2"/>
  <c r="U206" i="2"/>
  <c r="R207" i="2"/>
  <c r="S207" i="2"/>
  <c r="U207" i="2"/>
  <c r="E265" i="2"/>
  <c r="D265" i="2"/>
  <c r="N142" i="2"/>
  <c r="Y270" i="2"/>
  <c r="F264" i="2"/>
  <c r="T207" i="2"/>
  <c r="R208" i="2"/>
  <c r="G265" i="2"/>
  <c r="F265" i="2"/>
  <c r="Z270" i="2"/>
  <c r="AB270" i="2"/>
  <c r="Z271" i="2"/>
  <c r="K143" i="2"/>
  <c r="S208" i="2"/>
  <c r="U208" i="2"/>
  <c r="D266" i="2"/>
  <c r="E266" i="2"/>
  <c r="AB271" i="2"/>
  <c r="Y272" i="2"/>
  <c r="Z272" i="2"/>
  <c r="AB272" i="2"/>
  <c r="Y271" i="2"/>
  <c r="AA271" i="2"/>
  <c r="AA270" i="2"/>
  <c r="L143" i="2"/>
  <c r="G266" i="2"/>
  <c r="E267" i="2"/>
  <c r="F266" i="2"/>
  <c r="T208" i="2"/>
  <c r="R209" i="2"/>
  <c r="R210" i="2"/>
  <c r="AA273" i="2"/>
  <c r="AB273" i="2"/>
  <c r="Z273" i="2"/>
  <c r="Y273" i="2"/>
  <c r="N143" i="2"/>
  <c r="M143" i="2"/>
  <c r="AA272" i="2"/>
  <c r="D267" i="2"/>
  <c r="G267" i="2"/>
  <c r="D268" i="2"/>
  <c r="F267" i="2"/>
  <c r="S209" i="2"/>
  <c r="T209" i="2"/>
  <c r="T210" i="2"/>
  <c r="Y274" i="2"/>
  <c r="Y275" i="2"/>
  <c r="K144" i="2"/>
  <c r="E268" i="2"/>
  <c r="F268" i="2"/>
  <c r="S210" i="2"/>
  <c r="U209" i="2"/>
  <c r="U210" i="2"/>
  <c r="Z274" i="2"/>
  <c r="Z275" i="2"/>
  <c r="K145" i="2"/>
  <c r="L144" i="2"/>
  <c r="M144" i="2"/>
  <c r="M145" i="2"/>
  <c r="G268" i="2"/>
  <c r="D269" i="2"/>
  <c r="R211" i="2"/>
  <c r="S211" i="2"/>
  <c r="AB274" i="2"/>
  <c r="AB275" i="2"/>
  <c r="AA274" i="2"/>
  <c r="AA275" i="2"/>
  <c r="L145" i="2"/>
  <c r="N144" i="2"/>
  <c r="N145" i="2"/>
  <c r="E269" i="2"/>
  <c r="F269" i="2"/>
  <c r="G269" i="2"/>
  <c r="D270" i="2"/>
  <c r="E270" i="2"/>
  <c r="G270" i="2"/>
  <c r="D271" i="2"/>
  <c r="U211" i="2"/>
  <c r="T211" i="2"/>
  <c r="AA276" i="2"/>
  <c r="AB276" i="2"/>
  <c r="Y277" i="2"/>
  <c r="Z277" i="2"/>
  <c r="Z276" i="2"/>
  <c r="Y276" i="2"/>
  <c r="K146" i="2"/>
  <c r="E271" i="2"/>
  <c r="F271" i="2"/>
  <c r="F270" i="2"/>
  <c r="R212" i="2"/>
  <c r="S212" i="2"/>
  <c r="AB277" i="2"/>
  <c r="Y278" i="2"/>
  <c r="AA277" i="2"/>
  <c r="L146" i="2"/>
  <c r="G271" i="2"/>
  <c r="T212" i="2"/>
  <c r="U212" i="2"/>
  <c r="AB278" i="2"/>
  <c r="Y279" i="2"/>
  <c r="Z278" i="2"/>
  <c r="AA278" i="2"/>
  <c r="N146" i="2"/>
  <c r="M146" i="2"/>
  <c r="D272" i="2"/>
  <c r="R213" i="2"/>
  <c r="S213" i="2"/>
  <c r="Z279" i="2"/>
  <c r="AB279" i="2"/>
  <c r="Y280" i="2"/>
  <c r="K147" i="2"/>
  <c r="E272" i="2"/>
  <c r="G272" i="2"/>
  <c r="D273" i="2"/>
  <c r="F273" i="2"/>
  <c r="U213" i="2"/>
  <c r="T213" i="2"/>
  <c r="AA279" i="2"/>
  <c r="AA280" i="2"/>
  <c r="AB280" i="2"/>
  <c r="Z280" i="2"/>
  <c r="L147" i="2"/>
  <c r="F272" i="2"/>
  <c r="E273" i="2"/>
  <c r="G273" i="2"/>
  <c r="R214" i="2"/>
  <c r="S214" i="2"/>
  <c r="U214" i="2"/>
  <c r="Y281" i="2"/>
  <c r="Z281" i="2"/>
  <c r="AB281" i="2"/>
  <c r="AA282" i="2"/>
  <c r="N147" i="2"/>
  <c r="M147" i="2"/>
  <c r="D274" i="2"/>
  <c r="D275" i="2"/>
  <c r="T214" i="2"/>
  <c r="R215" i="2"/>
  <c r="S215" i="2"/>
  <c r="T215" i="2"/>
  <c r="Z282" i="2"/>
  <c r="AB282" i="2"/>
  <c r="Y283" i="2"/>
  <c r="AA281" i="2"/>
  <c r="Y282" i="2"/>
  <c r="K148" i="2"/>
  <c r="E274" i="2"/>
  <c r="E275" i="2"/>
  <c r="U215" i="2"/>
  <c r="Z283" i="2"/>
  <c r="AB283" i="2"/>
  <c r="Z284" i="2"/>
  <c r="L148" i="2"/>
  <c r="M148" i="2"/>
  <c r="F274" i="2"/>
  <c r="F275" i="2"/>
  <c r="G274" i="2"/>
  <c r="G275" i="2"/>
  <c r="E276" i="2"/>
  <c r="R216" i="2"/>
  <c r="Y284" i="2"/>
  <c r="AB284" i="2"/>
  <c r="Y285" i="2"/>
  <c r="Z285" i="2"/>
  <c r="AB285" i="2"/>
  <c r="AA284" i="2"/>
  <c r="AA283" i="2"/>
  <c r="N148" i="2"/>
  <c r="D276" i="2"/>
  <c r="G276" i="2"/>
  <c r="F276" i="2"/>
  <c r="S216" i="2"/>
  <c r="U216" i="2"/>
  <c r="AA285" i="2"/>
  <c r="Y286" i="2"/>
  <c r="AB286" i="2"/>
  <c r="AA286" i="2"/>
  <c r="Z286" i="2"/>
  <c r="K149" i="2"/>
  <c r="D277" i="2"/>
  <c r="E277" i="2"/>
  <c r="T216" i="2"/>
  <c r="R217" i="2"/>
  <c r="L149" i="2"/>
  <c r="M149" i="2"/>
  <c r="Y287" i="2"/>
  <c r="Y288" i="2"/>
  <c r="F277" i="2"/>
  <c r="G277" i="2"/>
  <c r="E278" i="2"/>
  <c r="S217" i="2"/>
  <c r="T217" i="2"/>
  <c r="Z287" i="2"/>
  <c r="AA287" i="2"/>
  <c r="AA288" i="2"/>
  <c r="N149" i="2"/>
  <c r="D278" i="2"/>
  <c r="F278" i="2"/>
  <c r="U217" i="2"/>
  <c r="R218" i="2"/>
  <c r="S218" i="2"/>
  <c r="U218" i="2"/>
  <c r="Z288" i="2"/>
  <c r="AB287" i="2"/>
  <c r="AB288" i="2"/>
  <c r="K150" i="2"/>
  <c r="G278" i="2"/>
  <c r="T218" i="2"/>
  <c r="R219" i="2"/>
  <c r="Y289" i="2"/>
  <c r="AB289" i="2"/>
  <c r="Y290" i="2"/>
  <c r="AA289" i="2"/>
  <c r="Z289" i="2"/>
  <c r="L150" i="2"/>
  <c r="D279" i="2"/>
  <c r="E279" i="2"/>
  <c r="G279" i="2"/>
  <c r="S219" i="2"/>
  <c r="T219" i="2"/>
  <c r="Z290" i="2"/>
  <c r="AA290" i="2"/>
  <c r="N150" i="2"/>
  <c r="M150" i="2"/>
  <c r="F279" i="2"/>
  <c r="E280" i="2"/>
  <c r="F280" i="2"/>
  <c r="D280" i="2"/>
  <c r="G280" i="2"/>
  <c r="U219" i="2"/>
  <c r="R220" i="2"/>
  <c r="S220" i="2"/>
  <c r="U220" i="2"/>
  <c r="R221" i="2"/>
  <c r="S221" i="2"/>
  <c r="T221" i="2"/>
  <c r="AB290" i="2"/>
  <c r="AB291" i="2"/>
  <c r="K151" i="2"/>
  <c r="D281" i="2"/>
  <c r="E281" i="2"/>
  <c r="G281" i="2"/>
  <c r="T220" i="2"/>
  <c r="U221" i="2"/>
  <c r="AA291" i="2"/>
  <c r="Y291" i="2"/>
  <c r="Z291" i="2"/>
  <c r="Y292" i="2"/>
  <c r="Z292" i="2"/>
  <c r="AB292" i="2"/>
  <c r="L151" i="2"/>
  <c r="M151" i="2"/>
  <c r="F281" i="2"/>
  <c r="E282" i="2"/>
  <c r="D282" i="2"/>
  <c r="F282" i="2"/>
  <c r="R222" i="2"/>
  <c r="R223" i="2"/>
  <c r="AA292" i="2"/>
  <c r="AA293" i="2"/>
  <c r="AB293" i="2"/>
  <c r="Z293" i="2"/>
  <c r="Y293" i="2"/>
  <c r="N151" i="2"/>
  <c r="G282" i="2"/>
  <c r="S222" i="2"/>
  <c r="T222" i="2"/>
  <c r="T223" i="2"/>
  <c r="Y294" i="2"/>
  <c r="Z294" i="2"/>
  <c r="AB294" i="2"/>
  <c r="K152" i="2"/>
  <c r="D283" i="2"/>
  <c r="E283" i="2"/>
  <c r="S223" i="2"/>
  <c r="U222" i="2"/>
  <c r="U223" i="2"/>
  <c r="AA294" i="2"/>
  <c r="AA295" i="2"/>
  <c r="AB295" i="2"/>
  <c r="Z295" i="2"/>
  <c r="Y295" i="2"/>
  <c r="L152" i="2"/>
  <c r="M152" i="2"/>
  <c r="F283" i="2"/>
  <c r="G283" i="2"/>
  <c r="R224" i="2"/>
  <c r="S224" i="2"/>
  <c r="Y296" i="2"/>
  <c r="N152" i="2"/>
  <c r="D284" i="2"/>
  <c r="G284" i="2"/>
  <c r="E284" i="2"/>
  <c r="U224" i="2"/>
  <c r="T224" i="2"/>
  <c r="Z296" i="2"/>
  <c r="AB296" i="2"/>
  <c r="AA297" i="2"/>
  <c r="K153" i="2"/>
  <c r="D285" i="2"/>
  <c r="F284" i="2"/>
  <c r="R225" i="2"/>
  <c r="AB297" i="2"/>
  <c r="Z297" i="2"/>
  <c r="Y297" i="2"/>
  <c r="AA296" i="2"/>
  <c r="L153" i="2"/>
  <c r="M153" i="2"/>
  <c r="E285" i="2"/>
  <c r="G285" i="2"/>
  <c r="S225" i="2"/>
  <c r="T225" i="2"/>
  <c r="Y298" i="2"/>
  <c r="N153" i="2"/>
  <c r="F285" i="2"/>
  <c r="D286" i="2"/>
  <c r="E286" i="2"/>
  <c r="F286" i="2"/>
  <c r="U225" i="2"/>
  <c r="Z298" i="2"/>
  <c r="AB298" i="2"/>
  <c r="K154" i="2"/>
  <c r="G286" i="2"/>
  <c r="R226" i="2"/>
  <c r="S226" i="2"/>
  <c r="T226" i="2"/>
  <c r="Z299" i="2"/>
  <c r="AB299" i="2"/>
  <c r="Y300" i="2"/>
  <c r="AA299" i="2"/>
  <c r="Y299" i="2"/>
  <c r="AA298" i="2"/>
  <c r="L154" i="2"/>
  <c r="N154" i="2"/>
  <c r="D287" i="2"/>
  <c r="D288" i="2"/>
  <c r="Y301" i="2"/>
  <c r="U226" i="2"/>
  <c r="Z300" i="2"/>
  <c r="AB300" i="2"/>
  <c r="AB301" i="2"/>
  <c r="Z302" i="2"/>
  <c r="M154" i="2"/>
  <c r="K155" i="2"/>
  <c r="E287" i="2"/>
  <c r="G287" i="2"/>
  <c r="G288" i="2"/>
  <c r="R227" i="2"/>
  <c r="S227" i="2"/>
  <c r="U227" i="2"/>
  <c r="AA302" i="2"/>
  <c r="Z301" i="2"/>
  <c r="AB302" i="2"/>
  <c r="Y303" i="2"/>
  <c r="Z303" i="2"/>
  <c r="AB303" i="2"/>
  <c r="AA300" i="2"/>
  <c r="AA301" i="2"/>
  <c r="Y302" i="2"/>
  <c r="L155" i="2"/>
  <c r="F287" i="2"/>
  <c r="F288" i="2"/>
  <c r="E288" i="2"/>
  <c r="D289" i="2"/>
  <c r="G289" i="2"/>
  <c r="E289" i="2"/>
  <c r="F289" i="2"/>
  <c r="R228" i="2"/>
  <c r="S228" i="2"/>
  <c r="T228" i="2"/>
  <c r="T227" i="2"/>
  <c r="AA303" i="2"/>
  <c r="Z304" i="2"/>
  <c r="Y304" i="2"/>
  <c r="AA304" i="2"/>
  <c r="AB304" i="2"/>
  <c r="N155" i="2"/>
  <c r="M155" i="2"/>
  <c r="D290" i="2"/>
  <c r="E290" i="2"/>
  <c r="G290" i="2"/>
  <c r="U228" i="2"/>
  <c r="K156" i="2"/>
  <c r="Y305" i="2"/>
  <c r="Z305" i="2"/>
  <c r="F290" i="2"/>
  <c r="D291" i="2"/>
  <c r="F291" i="2"/>
  <c r="E291" i="2"/>
  <c r="R229" i="2"/>
  <c r="AB305" i="2"/>
  <c r="L156" i="2"/>
  <c r="M156" i="2"/>
  <c r="AA305" i="2"/>
  <c r="G291" i="2"/>
  <c r="S229" i="2"/>
  <c r="U229" i="2"/>
  <c r="Y306" i="2"/>
  <c r="AB306" i="2"/>
  <c r="AA306" i="2"/>
  <c r="Z306" i="2"/>
  <c r="N156" i="2"/>
  <c r="D292" i="2"/>
  <c r="E292" i="2"/>
  <c r="G292" i="2"/>
  <c r="T229" i="2"/>
  <c r="R230" i="2"/>
  <c r="K157" i="2"/>
  <c r="Y307" i="2"/>
  <c r="Z307" i="2"/>
  <c r="AB307" i="2"/>
  <c r="F292" i="2"/>
  <c r="D293" i="2"/>
  <c r="G293" i="2"/>
  <c r="E293" i="2"/>
  <c r="F293" i="2"/>
  <c r="S230" i="2"/>
  <c r="T230" i="2"/>
  <c r="AA307" i="2"/>
  <c r="AB308" i="2"/>
  <c r="AA308" i="2"/>
  <c r="Z308" i="2"/>
  <c r="Y308" i="2"/>
  <c r="K158" i="2"/>
  <c r="L157" i="2"/>
  <c r="M157" i="2"/>
  <c r="M158" i="2"/>
  <c r="D294" i="2"/>
  <c r="E294" i="2"/>
  <c r="U230" i="2"/>
  <c r="R231" i="2"/>
  <c r="S231" i="2"/>
  <c r="U231" i="2"/>
  <c r="Y309" i="2"/>
  <c r="Z309" i="2"/>
  <c r="AB309" i="2"/>
  <c r="L158" i="2"/>
  <c r="N157" i="2"/>
  <c r="N158" i="2"/>
  <c r="F294" i="2"/>
  <c r="G294" i="2"/>
  <c r="T231" i="2"/>
  <c r="R232" i="2"/>
  <c r="AA309" i="2"/>
  <c r="AA310" i="2"/>
  <c r="AB310" i="2"/>
  <c r="Z310" i="2"/>
  <c r="Y310" i="2"/>
  <c r="K159" i="2"/>
  <c r="D295" i="2"/>
  <c r="G295" i="2"/>
  <c r="E295" i="2"/>
  <c r="F295" i="2"/>
  <c r="S232" i="2"/>
  <c r="T232" i="2"/>
  <c r="L159" i="2"/>
  <c r="M159" i="2"/>
  <c r="Y311" i="2"/>
  <c r="D296" i="2"/>
  <c r="U232" i="2"/>
  <c r="R233" i="2"/>
  <c r="Z311" i="2"/>
  <c r="AB311" i="2"/>
  <c r="N159" i="2"/>
  <c r="E296" i="2"/>
  <c r="G296" i="2"/>
  <c r="S233" i="2"/>
  <c r="U233" i="2"/>
  <c r="R234" i="2"/>
  <c r="K160" i="2"/>
  <c r="AA311" i="2"/>
  <c r="Z312" i="2"/>
  <c r="Y312" i="2"/>
  <c r="AA312" i="2"/>
  <c r="AB312" i="2"/>
  <c r="F296" i="2"/>
  <c r="D297" i="2"/>
  <c r="F297" i="2"/>
  <c r="E297" i="2"/>
  <c r="T233" i="2"/>
  <c r="S234" i="2"/>
  <c r="U234" i="2"/>
  <c r="Y313" i="2"/>
  <c r="Y314" i="2"/>
  <c r="L160" i="2"/>
  <c r="G297" i="2"/>
  <c r="T234" i="2"/>
  <c r="R235" i="2"/>
  <c r="R236" i="2"/>
  <c r="Z313" i="2"/>
  <c r="Z314" i="2"/>
  <c r="N160" i="2"/>
  <c r="M160" i="2"/>
  <c r="D298" i="2"/>
  <c r="S235" i="2"/>
  <c r="AA313" i="2"/>
  <c r="AA314" i="2"/>
  <c r="AB313" i="2"/>
  <c r="AB314" i="2"/>
  <c r="Z315" i="2"/>
  <c r="K161" i="2"/>
  <c r="E298" i="2"/>
  <c r="G298" i="2"/>
  <c r="T235" i="2"/>
  <c r="T236" i="2"/>
  <c r="S236" i="2"/>
  <c r="U235" i="2"/>
  <c r="U236" i="2"/>
  <c r="AA315" i="2"/>
  <c r="AB315" i="2"/>
  <c r="Y316" i="2"/>
  <c r="Y315" i="2"/>
  <c r="L161" i="2"/>
  <c r="M161" i="2"/>
  <c r="F298" i="2"/>
  <c r="D299" i="2"/>
  <c r="G299" i="2"/>
  <c r="E299" i="2"/>
  <c r="F299" i="2"/>
  <c r="R237" i="2"/>
  <c r="Z316" i="2"/>
  <c r="AA316" i="2"/>
  <c r="N161" i="2"/>
  <c r="D300" i="2"/>
  <c r="D301" i="2"/>
  <c r="S237" i="2"/>
  <c r="U237" i="2"/>
  <c r="AB316" i="2"/>
  <c r="K162" i="2"/>
  <c r="E300" i="2"/>
  <c r="E301" i="2"/>
  <c r="R238" i="2"/>
  <c r="S238" i="2"/>
  <c r="T237" i="2"/>
  <c r="AA317" i="2"/>
  <c r="AB317" i="2"/>
  <c r="Y318" i="2"/>
  <c r="Z318" i="2"/>
  <c r="AA318" i="2"/>
  <c r="Z317" i="2"/>
  <c r="Y317" i="2"/>
  <c r="L162" i="2"/>
  <c r="F300" i="2"/>
  <c r="F301" i="2"/>
  <c r="G300" i="2"/>
  <c r="G301" i="2"/>
  <c r="D302" i="2"/>
  <c r="F302" i="2"/>
  <c r="U238" i="2"/>
  <c r="T238" i="2"/>
  <c r="AB318" i="2"/>
  <c r="Y319" i="2"/>
  <c r="N162" i="2"/>
  <c r="M162" i="2"/>
  <c r="E302" i="2"/>
  <c r="G302" i="2"/>
  <c r="R239" i="2"/>
  <c r="S239" i="2"/>
  <c r="Z319" i="2"/>
  <c r="AA319" i="2"/>
  <c r="AB319" i="2"/>
  <c r="Y320" i="2"/>
  <c r="K163" i="2"/>
  <c r="D303" i="2"/>
  <c r="E303" i="2"/>
  <c r="G303" i="2"/>
  <c r="T239" i="2"/>
  <c r="U239" i="2"/>
  <c r="Z320" i="2"/>
  <c r="AB320" i="2"/>
  <c r="AB321" i="2"/>
  <c r="L163" i="2"/>
  <c r="M163" i="2"/>
  <c r="F303" i="2"/>
  <c r="E304" i="2"/>
  <c r="F304" i="2"/>
  <c r="D304" i="2"/>
  <c r="G304" i="2"/>
  <c r="R240" i="2"/>
  <c r="S240" i="2"/>
  <c r="U240" i="2"/>
  <c r="Z321" i="2"/>
  <c r="Y321" i="2"/>
  <c r="AA320" i="2"/>
  <c r="AA321" i="2"/>
  <c r="N163" i="2"/>
  <c r="Y322" i="2"/>
  <c r="Z322" i="2"/>
  <c r="AB322" i="2"/>
  <c r="D305" i="2"/>
  <c r="E305" i="2"/>
  <c r="R241" i="2"/>
  <c r="S241" i="2"/>
  <c r="T240" i="2"/>
  <c r="AA322" i="2"/>
  <c r="Z323" i="2"/>
  <c r="Y323" i="2"/>
  <c r="AA323" i="2"/>
  <c r="AB323" i="2"/>
  <c r="K164" i="2"/>
  <c r="F305" i="2"/>
  <c r="G305" i="2"/>
  <c r="T241" i="2"/>
  <c r="U241" i="2"/>
  <c r="L164" i="2"/>
  <c r="Y324" i="2"/>
  <c r="Z324" i="2"/>
  <c r="AB324" i="2"/>
  <c r="E306" i="2"/>
  <c r="D306" i="2"/>
  <c r="G306" i="2"/>
  <c r="F306" i="2"/>
  <c r="R242" i="2"/>
  <c r="S242" i="2"/>
  <c r="U242" i="2"/>
  <c r="AA324" i="2"/>
  <c r="AA325" i="2"/>
  <c r="AB325" i="2"/>
  <c r="Z325" i="2"/>
  <c r="Y325" i="2"/>
  <c r="N164" i="2"/>
  <c r="M164" i="2"/>
  <c r="D307" i="2"/>
  <c r="E307" i="2"/>
  <c r="G307" i="2"/>
  <c r="R243" i="2"/>
  <c r="S243" i="2"/>
  <c r="T243" i="2"/>
  <c r="T242" i="2"/>
  <c r="Y326" i="2"/>
  <c r="Y327" i="2"/>
  <c r="K165" i="2"/>
  <c r="F307" i="2"/>
  <c r="D308" i="2"/>
  <c r="F308" i="2"/>
  <c r="E308" i="2"/>
  <c r="U243" i="2"/>
  <c r="Z326" i="2"/>
  <c r="AA326" i="2"/>
  <c r="AA327" i="2"/>
  <c r="L165" i="2"/>
  <c r="M165" i="2"/>
  <c r="G308" i="2"/>
  <c r="R244" i="2"/>
  <c r="Z327" i="2"/>
  <c r="AB326" i="2"/>
  <c r="AB327" i="2"/>
  <c r="N165" i="2"/>
  <c r="D309" i="2"/>
  <c r="E309" i="2"/>
  <c r="S244" i="2"/>
  <c r="U244" i="2"/>
  <c r="AB328" i="2"/>
  <c r="Y329" i="2"/>
  <c r="Z329" i="2"/>
  <c r="Y328" i="2"/>
  <c r="Z328" i="2"/>
  <c r="AA328" i="2"/>
  <c r="K166" i="2"/>
  <c r="F309" i="2"/>
  <c r="G309" i="2"/>
  <c r="E310" i="2"/>
  <c r="T244" i="2"/>
  <c r="R245" i="2"/>
  <c r="S245" i="2"/>
  <c r="T245" i="2"/>
  <c r="AB329" i="2"/>
  <c r="Y330" i="2"/>
  <c r="AA329" i="2"/>
  <c r="L166" i="2"/>
  <c r="M166" i="2"/>
  <c r="D310" i="2"/>
  <c r="F310" i="2"/>
  <c r="G310" i="2"/>
  <c r="U245" i="2"/>
  <c r="AB330" i="2"/>
  <c r="Y331" i="2"/>
  <c r="AA330" i="2"/>
  <c r="Z330" i="2"/>
  <c r="N166" i="2"/>
  <c r="D311" i="2"/>
  <c r="E311" i="2"/>
  <c r="R246" i="2"/>
  <c r="K167" i="2"/>
  <c r="Z331" i="2"/>
  <c r="AB331" i="2"/>
  <c r="F311" i="2"/>
  <c r="G311" i="2"/>
  <c r="F312" i="2"/>
  <c r="S246" i="2"/>
  <c r="U246" i="2"/>
  <c r="AA331" i="2"/>
  <c r="Z332" i="2"/>
  <c r="Y332" i="2"/>
  <c r="AA332" i="2"/>
  <c r="AB332" i="2"/>
  <c r="L167" i="2"/>
  <c r="N167" i="2"/>
  <c r="E312" i="2"/>
  <c r="D312" i="2"/>
  <c r="G312" i="2"/>
  <c r="T246" i="2"/>
  <c r="R247" i="2"/>
  <c r="M167" i="2"/>
  <c r="Y333" i="2"/>
  <c r="K168" i="2"/>
  <c r="D313" i="2"/>
  <c r="D314" i="2"/>
  <c r="S247" i="2"/>
  <c r="T247" i="2"/>
  <c r="Z333" i="2"/>
  <c r="AB333" i="2"/>
  <c r="L168" i="2"/>
  <c r="E313" i="2"/>
  <c r="E314" i="2"/>
  <c r="U247" i="2"/>
  <c r="AA333" i="2"/>
  <c r="Z334" i="2"/>
  <c r="Y334" i="2"/>
  <c r="AB334" i="2"/>
  <c r="AA334" i="2"/>
  <c r="N168" i="2"/>
  <c r="M168" i="2"/>
  <c r="F313" i="2"/>
  <c r="F314" i="2"/>
  <c r="G313" i="2"/>
  <c r="G314" i="2"/>
  <c r="F315" i="2"/>
  <c r="R248" i="2"/>
  <c r="R249" i="2"/>
  <c r="K169" i="2"/>
  <c r="Y335" i="2"/>
  <c r="Z335" i="2"/>
  <c r="AB335" i="2"/>
  <c r="D315" i="2"/>
  <c r="G315" i="2"/>
  <c r="E315" i="2"/>
  <c r="S248" i="2"/>
  <c r="S249" i="2"/>
  <c r="AA335" i="2"/>
  <c r="AB336" i="2"/>
  <c r="Z336" i="2"/>
  <c r="Y336" i="2"/>
  <c r="AA336" i="2"/>
  <c r="L169" i="2"/>
  <c r="D316" i="2"/>
  <c r="E316" i="2"/>
  <c r="T248" i="2"/>
  <c r="T249" i="2"/>
  <c r="U248" i="2"/>
  <c r="U249" i="2"/>
  <c r="R250" i="2"/>
  <c r="N169" i="2"/>
  <c r="M169" i="2"/>
  <c r="Y337" i="2"/>
  <c r="Z337" i="2"/>
  <c r="AB337" i="2"/>
  <c r="G316" i="2"/>
  <c r="F316" i="2"/>
  <c r="S250" i="2"/>
  <c r="U250" i="2"/>
  <c r="R251" i="2"/>
  <c r="S251" i="2"/>
  <c r="AA337" i="2"/>
  <c r="AB338" i="2"/>
  <c r="AA338" i="2"/>
  <c r="Z338" i="2"/>
  <c r="Y338" i="2"/>
  <c r="K170" i="2"/>
  <c r="D317" i="2"/>
  <c r="G317" i="2"/>
  <c r="E317" i="2"/>
  <c r="F317" i="2"/>
  <c r="T250" i="2"/>
  <c r="T251" i="2"/>
  <c r="U251" i="2"/>
  <c r="Y339" i="2"/>
  <c r="Y340" i="2"/>
  <c r="K171" i="2"/>
  <c r="L170" i="2"/>
  <c r="M170" i="2"/>
  <c r="M171" i="2"/>
  <c r="D318" i="2"/>
  <c r="E318" i="2"/>
  <c r="G318" i="2"/>
  <c r="R252" i="2"/>
  <c r="S252" i="2"/>
  <c r="T252" i="2"/>
  <c r="Z339" i="2"/>
  <c r="AA339" i="2"/>
  <c r="AA340" i="2"/>
  <c r="L171" i="2"/>
  <c r="N170" i="2"/>
  <c r="N171" i="2"/>
  <c r="D319" i="2"/>
  <c r="G319" i="2"/>
  <c r="F319" i="2"/>
  <c r="E319" i="2"/>
  <c r="F318" i="2"/>
  <c r="U252" i="2"/>
  <c r="K172" i="2"/>
  <c r="Z340" i="2"/>
  <c r="AB339" i="2"/>
  <c r="AB340" i="2"/>
  <c r="D320" i="2"/>
  <c r="E320" i="2"/>
  <c r="G320" i="2"/>
  <c r="R253" i="2"/>
  <c r="L172" i="2"/>
  <c r="M172" i="2"/>
  <c r="AB341" i="2"/>
  <c r="AA341" i="2"/>
  <c r="Z341" i="2"/>
  <c r="Y341" i="2"/>
  <c r="E321" i="2"/>
  <c r="F321" i="2"/>
  <c r="D321" i="2"/>
  <c r="G321" i="2"/>
  <c r="F320" i="2"/>
  <c r="S253" i="2"/>
  <c r="U253" i="2"/>
  <c r="Y342" i="2"/>
  <c r="Z342" i="2"/>
  <c r="AB342" i="2"/>
  <c r="N172" i="2"/>
  <c r="D322" i="2"/>
  <c r="E322" i="2"/>
  <c r="G322" i="2"/>
  <c r="D323" i="2"/>
  <c r="F323" i="2"/>
  <c r="T253" i="2"/>
  <c r="R254" i="2"/>
  <c r="S254" i="2"/>
  <c r="Z343" i="2"/>
  <c r="Y343" i="2"/>
  <c r="AB343" i="2"/>
  <c r="AA343" i="2"/>
  <c r="AA342" i="2"/>
  <c r="K173" i="2"/>
  <c r="E323" i="2"/>
  <c r="F322" i="2"/>
  <c r="G323" i="2"/>
  <c r="D324" i="2"/>
  <c r="T254" i="2"/>
  <c r="U254" i="2"/>
  <c r="Y344" i="2"/>
  <c r="Z344" i="2"/>
  <c r="L173" i="2"/>
  <c r="E324" i="2"/>
  <c r="G324" i="2"/>
  <c r="D325" i="2"/>
  <c r="G325" i="2"/>
  <c r="R255" i="2"/>
  <c r="S255" i="2"/>
  <c r="U255" i="2"/>
  <c r="AA344" i="2"/>
  <c r="N173" i="2"/>
  <c r="AB344" i="2"/>
  <c r="M173" i="2"/>
  <c r="F324" i="2"/>
  <c r="F325" i="2"/>
  <c r="E325" i="2"/>
  <c r="D326" i="2"/>
  <c r="D327" i="2"/>
  <c r="R256" i="2"/>
  <c r="S256" i="2"/>
  <c r="T255" i="2"/>
  <c r="K174" i="2"/>
  <c r="Y345" i="2"/>
  <c r="AB345" i="2"/>
  <c r="AA345" i="2"/>
  <c r="Z345" i="2"/>
  <c r="E326" i="2"/>
  <c r="F326" i="2"/>
  <c r="F327" i="2"/>
  <c r="U256" i="2"/>
  <c r="T256" i="2"/>
  <c r="L174" i="2"/>
  <c r="Y346" i="2"/>
  <c r="E327" i="2"/>
  <c r="G326" i="2"/>
  <c r="G327" i="2"/>
  <c r="F328" i="2"/>
  <c r="R257" i="2"/>
  <c r="S257" i="2"/>
  <c r="U257" i="2"/>
  <c r="Z346" i="2"/>
  <c r="AB346" i="2"/>
  <c r="AA347" i="2"/>
  <c r="N174" i="2"/>
  <c r="M174" i="2"/>
  <c r="E328" i="2"/>
  <c r="D328" i="2"/>
  <c r="G328" i="2"/>
  <c r="D329" i="2"/>
  <c r="E329" i="2"/>
  <c r="G329" i="2"/>
  <c r="E330" i="2"/>
  <c r="R258" i="2"/>
  <c r="S258" i="2"/>
  <c r="T258" i="2"/>
  <c r="T257" i="2"/>
  <c r="Y347" i="2"/>
  <c r="Z347" i="2"/>
  <c r="AA346" i="2"/>
  <c r="AB347" i="2"/>
  <c r="Y348" i="2"/>
  <c r="Z348" i="2"/>
  <c r="AB348" i="2"/>
  <c r="K175" i="2"/>
  <c r="F329" i="2"/>
  <c r="F330" i="2"/>
  <c r="D330" i="2"/>
  <c r="G330" i="2"/>
  <c r="D331" i="2"/>
  <c r="E331" i="2"/>
  <c r="G331" i="2"/>
  <c r="U258" i="2"/>
  <c r="AA349" i="2"/>
  <c r="Z349" i="2"/>
  <c r="Y349" i="2"/>
  <c r="AB349" i="2"/>
  <c r="L175" i="2"/>
  <c r="M175" i="2"/>
  <c r="AA348" i="2"/>
  <c r="F331" i="2"/>
  <c r="D332" i="2"/>
  <c r="G332" i="2"/>
  <c r="E332" i="2"/>
  <c r="F332" i="2"/>
  <c r="R259" i="2"/>
  <c r="S259" i="2"/>
  <c r="U259" i="2"/>
  <c r="N175" i="2"/>
  <c r="Y350" i="2"/>
  <c r="D333" i="2"/>
  <c r="E333" i="2"/>
  <c r="G333" i="2"/>
  <c r="R260" i="2"/>
  <c r="T259" i="2"/>
  <c r="Z350" i="2"/>
  <c r="AB350" i="2"/>
  <c r="AA351" i="2"/>
  <c r="K176" i="2"/>
  <c r="F333" i="2"/>
  <c r="D334" i="2"/>
  <c r="G334" i="2"/>
  <c r="F334" i="2"/>
  <c r="E334" i="2"/>
  <c r="S260" i="2"/>
  <c r="T260" i="2"/>
  <c r="Z351" i="2"/>
  <c r="AA350" i="2"/>
  <c r="AB351" i="2"/>
  <c r="Y352" i="2"/>
  <c r="Y351" i="2"/>
  <c r="L176" i="2"/>
  <c r="D335" i="2"/>
  <c r="E335" i="2"/>
  <c r="F335" i="2"/>
  <c r="U260" i="2"/>
  <c r="R261" i="2"/>
  <c r="R262" i="2"/>
  <c r="Y353" i="2"/>
  <c r="N176" i="2"/>
  <c r="Z352" i="2"/>
  <c r="AA352" i="2"/>
  <c r="AA353" i="2"/>
  <c r="M176" i="2"/>
  <c r="G335" i="2"/>
  <c r="E336" i="2"/>
  <c r="S261" i="2"/>
  <c r="Z353" i="2"/>
  <c r="AB352" i="2"/>
  <c r="AB353" i="2"/>
  <c r="K177" i="2"/>
  <c r="D336" i="2"/>
  <c r="F336" i="2"/>
  <c r="G336" i="2"/>
  <c r="D337" i="2"/>
  <c r="E337" i="2"/>
  <c r="S262" i="2"/>
  <c r="U261" i="2"/>
  <c r="U262" i="2"/>
  <c r="T261" i="2"/>
  <c r="T262" i="2"/>
  <c r="Y354" i="2"/>
  <c r="AB354" i="2"/>
  <c r="AA354" i="2"/>
  <c r="Z354" i="2"/>
  <c r="L177" i="2"/>
  <c r="M177" i="2"/>
  <c r="F337" i="2"/>
  <c r="G337" i="2"/>
  <c r="R263" i="2"/>
  <c r="Y355" i="2"/>
  <c r="Z355" i="2"/>
  <c r="N177" i="2"/>
  <c r="D338" i="2"/>
  <c r="E338" i="2"/>
  <c r="F338" i="2"/>
  <c r="S263" i="2"/>
  <c r="U263" i="2"/>
  <c r="AB355" i="2"/>
  <c r="AA355" i="2"/>
  <c r="K178" i="2"/>
  <c r="G338" i="2"/>
  <c r="R264" i="2"/>
  <c r="S264" i="2"/>
  <c r="U264" i="2"/>
  <c r="T263" i="2"/>
  <c r="Y356" i="2"/>
  <c r="AB356" i="2"/>
  <c r="AA356" i="2"/>
  <c r="Z356" i="2"/>
  <c r="L178" i="2"/>
  <c r="D339" i="2"/>
  <c r="D340" i="2"/>
  <c r="R265" i="2"/>
  <c r="T264" i="2"/>
  <c r="N178" i="2"/>
  <c r="Y357" i="2"/>
  <c r="M178" i="2"/>
  <c r="E339" i="2"/>
  <c r="E340" i="2"/>
  <c r="S265" i="2"/>
  <c r="U265" i="2"/>
  <c r="K179" i="2"/>
  <c r="Z357" i="2"/>
  <c r="AB357" i="2"/>
  <c r="F339" i="2"/>
  <c r="F340" i="2"/>
  <c r="G339" i="2"/>
  <c r="G340" i="2"/>
  <c r="E341" i="2"/>
  <c r="R266" i="2"/>
  <c r="S266" i="2"/>
  <c r="U266" i="2"/>
  <c r="T265" i="2"/>
  <c r="Y358" i="2"/>
  <c r="AB358" i="2"/>
  <c r="AA358" i="2"/>
  <c r="Z358" i="2"/>
  <c r="L179" i="2"/>
  <c r="AA357" i="2"/>
  <c r="F341" i="2"/>
  <c r="D341" i="2"/>
  <c r="G341" i="2"/>
  <c r="R267" i="2"/>
  <c r="S267" i="2"/>
  <c r="T267" i="2"/>
  <c r="T266" i="2"/>
  <c r="Y359" i="2"/>
  <c r="Z359" i="2"/>
  <c r="N179" i="2"/>
  <c r="M179" i="2"/>
  <c r="D342" i="2"/>
  <c r="E342" i="2"/>
  <c r="G342" i="2"/>
  <c r="F343" i="2"/>
  <c r="U267" i="2"/>
  <c r="AA359" i="2"/>
  <c r="AB359" i="2"/>
  <c r="K180" i="2"/>
  <c r="F342" i="2"/>
  <c r="E343" i="2"/>
  <c r="D343" i="2"/>
  <c r="G343" i="2"/>
  <c r="R268" i="2"/>
  <c r="S268" i="2"/>
  <c r="U268" i="2"/>
  <c r="L180" i="2"/>
  <c r="N180" i="2"/>
  <c r="Y360" i="2"/>
  <c r="AB360" i="2"/>
  <c r="AA360" i="2"/>
  <c r="Z360" i="2"/>
  <c r="D344" i="2"/>
  <c r="E344" i="2"/>
  <c r="R269" i="2"/>
  <c r="T268" i="2"/>
  <c r="K181" i="2"/>
  <c r="M180" i="2"/>
  <c r="Y361" i="2"/>
  <c r="Z361" i="2"/>
  <c r="AB361" i="2"/>
  <c r="F344" i="2"/>
  <c r="G344" i="2"/>
  <c r="D345" i="2"/>
  <c r="G345" i="2"/>
  <c r="D346" i="2"/>
  <c r="E346" i="2"/>
  <c r="G346" i="2"/>
  <c r="S269" i="2"/>
  <c r="U269" i="2"/>
  <c r="AA361" i="2"/>
  <c r="L181" i="2"/>
  <c r="M181" i="2"/>
  <c r="Y362" i="2"/>
  <c r="AA362" i="2"/>
  <c r="AB362" i="2"/>
  <c r="Z362" i="2"/>
  <c r="F346" i="2"/>
  <c r="F345" i="2"/>
  <c r="E345" i="2"/>
  <c r="D347" i="2"/>
  <c r="F347" i="2"/>
  <c r="E347" i="2"/>
  <c r="T269" i="2"/>
  <c r="R270" i="2"/>
  <c r="S270" i="2"/>
  <c r="U270" i="2"/>
  <c r="Y363" i="2"/>
  <c r="Z363" i="2"/>
  <c r="AB363" i="2"/>
  <c r="N181" i="2"/>
  <c r="G347" i="2"/>
  <c r="D348" i="2"/>
  <c r="E348" i="2"/>
  <c r="G348" i="2"/>
  <c r="R271" i="2"/>
  <c r="S271" i="2"/>
  <c r="T270" i="2"/>
  <c r="AB364" i="2"/>
  <c r="AA364" i="2"/>
  <c r="Z364" i="2"/>
  <c r="Y364" i="2"/>
  <c r="AA363" i="2"/>
  <c r="K182" i="2"/>
  <c r="F348" i="2"/>
  <c r="E349" i="2"/>
  <c r="D349" i="2"/>
  <c r="G349" i="2"/>
  <c r="F349" i="2"/>
  <c r="T271" i="2"/>
  <c r="U271" i="2"/>
  <c r="Y365" i="2"/>
  <c r="Y366" i="2"/>
  <c r="L182" i="2"/>
  <c r="M182" i="2"/>
  <c r="D350" i="2"/>
  <c r="E350" i="2"/>
  <c r="G350" i="2"/>
  <c r="R272" i="2"/>
  <c r="S272" i="2"/>
  <c r="U272" i="2"/>
  <c r="Z365" i="2"/>
  <c r="Z366" i="2"/>
  <c r="N182" i="2"/>
  <c r="F350" i="2"/>
  <c r="D351" i="2"/>
  <c r="G351" i="2"/>
  <c r="E351" i="2"/>
  <c r="F351" i="2"/>
  <c r="R273" i="2"/>
  <c r="S273" i="2"/>
  <c r="T272" i="2"/>
  <c r="AB365" i="2"/>
  <c r="AB366" i="2"/>
  <c r="Z367" i="2"/>
  <c r="AA365" i="2"/>
  <c r="AA366" i="2"/>
  <c r="K183" i="2"/>
  <c r="D352" i="2"/>
  <c r="D353" i="2"/>
  <c r="U273" i="2"/>
  <c r="T273" i="2"/>
  <c r="Y367" i="2"/>
  <c r="AA367" i="2"/>
  <c r="AB367" i="2"/>
  <c r="Y368" i="2"/>
  <c r="Z368" i="2"/>
  <c r="AB368" i="2"/>
  <c r="K184" i="2"/>
  <c r="L183" i="2"/>
  <c r="E352" i="2"/>
  <c r="E353" i="2"/>
  <c r="R274" i="2"/>
  <c r="R275" i="2"/>
  <c r="L184" i="2"/>
  <c r="N183" i="2"/>
  <c r="N184" i="2"/>
  <c r="AA368" i="2"/>
  <c r="AB369" i="2"/>
  <c r="AA369" i="2"/>
  <c r="Z369" i="2"/>
  <c r="Y369" i="2"/>
  <c r="M183" i="2"/>
  <c r="M184" i="2"/>
  <c r="F352" i="2"/>
  <c r="F353" i="2"/>
  <c r="G352" i="2"/>
  <c r="G353" i="2"/>
  <c r="E354" i="2"/>
  <c r="S274" i="2"/>
  <c r="K185" i="2"/>
  <c r="Y370" i="2"/>
  <c r="Z370" i="2"/>
  <c r="AB370" i="2"/>
  <c r="D354" i="2"/>
  <c r="F354" i="2"/>
  <c r="G354" i="2"/>
  <c r="D355" i="2"/>
  <c r="E355" i="2"/>
  <c r="S275" i="2"/>
  <c r="U274" i="2"/>
  <c r="U275" i="2"/>
  <c r="T274" i="2"/>
  <c r="T275" i="2"/>
  <c r="AA370" i="2"/>
  <c r="L185" i="2"/>
  <c r="M185" i="2"/>
  <c r="AA371" i="2"/>
  <c r="Z371" i="2"/>
  <c r="Y371" i="2"/>
  <c r="AB371" i="2"/>
  <c r="F355" i="2"/>
  <c r="G355" i="2"/>
  <c r="R276" i="2"/>
  <c r="S276" i="2"/>
  <c r="Y372" i="2"/>
  <c r="N185" i="2"/>
  <c r="D356" i="2"/>
  <c r="G356" i="2"/>
  <c r="F356" i="2"/>
  <c r="E356" i="2"/>
  <c r="U276" i="2"/>
  <c r="T276" i="2"/>
  <c r="Z372" i="2"/>
  <c r="AB372" i="2"/>
  <c r="AA373" i="2"/>
  <c r="K186" i="2"/>
  <c r="D357" i="2"/>
  <c r="E357" i="2"/>
  <c r="G357" i="2"/>
  <c r="R277" i="2"/>
  <c r="S277" i="2"/>
  <c r="U277" i="2"/>
  <c r="AA372" i="2"/>
  <c r="Z373" i="2"/>
  <c r="Y373" i="2"/>
  <c r="AB373" i="2"/>
  <c r="Y374" i="2"/>
  <c r="L186" i="2"/>
  <c r="M186" i="2"/>
  <c r="F357" i="2"/>
  <c r="D358" i="2"/>
  <c r="F358" i="2"/>
  <c r="E358" i="2"/>
  <c r="T277" i="2"/>
  <c r="R278" i="2"/>
  <c r="Z374" i="2"/>
  <c r="AB374" i="2"/>
  <c r="Y375" i="2"/>
  <c r="N186" i="2"/>
  <c r="G358" i="2"/>
  <c r="S278" i="2"/>
  <c r="U278" i="2"/>
  <c r="AB375" i="2"/>
  <c r="Y376" i="2"/>
  <c r="Z376" i="2"/>
  <c r="AB376" i="2"/>
  <c r="AA375" i="2"/>
  <c r="Z375" i="2"/>
  <c r="AA374" i="2"/>
  <c r="K187" i="2"/>
  <c r="D359" i="2"/>
  <c r="E359" i="2"/>
  <c r="G359" i="2"/>
  <c r="R279" i="2"/>
  <c r="S279" i="2"/>
  <c r="U279" i="2"/>
  <c r="T278" i="2"/>
  <c r="AA376" i="2"/>
  <c r="Z377" i="2"/>
  <c r="Y377" i="2"/>
  <c r="AB377" i="2"/>
  <c r="AA377" i="2"/>
  <c r="L187" i="2"/>
  <c r="M187" i="2"/>
  <c r="F359" i="2"/>
  <c r="D360" i="2"/>
  <c r="G360" i="2"/>
  <c r="E360" i="2"/>
  <c r="F360" i="2"/>
  <c r="R280" i="2"/>
  <c r="S280" i="2"/>
  <c r="T279" i="2"/>
  <c r="N187" i="2"/>
  <c r="Y378" i="2"/>
  <c r="Y379" i="2"/>
  <c r="D361" i="2"/>
  <c r="U280" i="2"/>
  <c r="T280" i="2"/>
  <c r="Z378" i="2"/>
  <c r="Z379" i="2"/>
  <c r="K188" i="2"/>
  <c r="E361" i="2"/>
  <c r="G361" i="2"/>
  <c r="D362" i="2"/>
  <c r="F362" i="2"/>
  <c r="R281" i="2"/>
  <c r="S281" i="2"/>
  <c r="U281" i="2"/>
  <c r="AA378" i="2"/>
  <c r="AA379" i="2"/>
  <c r="AB378" i="2"/>
  <c r="AB379" i="2"/>
  <c r="Y380" i="2"/>
  <c r="L188" i="2"/>
  <c r="F361" i="2"/>
  <c r="E362" i="2"/>
  <c r="G362" i="2"/>
  <c r="T281" i="2"/>
  <c r="R282" i="2"/>
  <c r="S282" i="2"/>
  <c r="T282" i="2"/>
  <c r="AB380" i="2"/>
  <c r="Y381" i="2"/>
  <c r="AA380" i="2"/>
  <c r="Z380" i="2"/>
  <c r="N188" i="2"/>
  <c r="M188" i="2"/>
  <c r="D363" i="2"/>
  <c r="E363" i="2"/>
  <c r="U282" i="2"/>
  <c r="Z381" i="2"/>
  <c r="AB381" i="2"/>
  <c r="AB382" i="2"/>
  <c r="K189" i="2"/>
  <c r="F363" i="2"/>
  <c r="G363" i="2"/>
  <c r="R283" i="2"/>
  <c r="S283" i="2"/>
  <c r="U283" i="2"/>
  <c r="AA382" i="2"/>
  <c r="Z382" i="2"/>
  <c r="Y382" i="2"/>
  <c r="AA381" i="2"/>
  <c r="L189" i="2"/>
  <c r="M189" i="2"/>
  <c r="Y383" i="2"/>
  <c r="D364" i="2"/>
  <c r="G364" i="2"/>
  <c r="E364" i="2"/>
  <c r="F364" i="2"/>
  <c r="R284" i="2"/>
  <c r="S284" i="2"/>
  <c r="T284" i="2"/>
  <c r="T283" i="2"/>
  <c r="N189" i="2"/>
  <c r="Z383" i="2"/>
  <c r="D365" i="2"/>
  <c r="D366" i="2"/>
  <c r="U284" i="2"/>
  <c r="AA383" i="2"/>
  <c r="AB383" i="2"/>
  <c r="K190" i="2"/>
  <c r="E365" i="2"/>
  <c r="E366" i="2"/>
  <c r="R285" i="2"/>
  <c r="S285" i="2"/>
  <c r="U285" i="2"/>
  <c r="Y384" i="2"/>
  <c r="AB384" i="2"/>
  <c r="AA384" i="2"/>
  <c r="Z384" i="2"/>
  <c r="L190" i="2"/>
  <c r="F365" i="2"/>
  <c r="F366" i="2"/>
  <c r="G365" i="2"/>
  <c r="G366" i="2"/>
  <c r="E367" i="2"/>
  <c r="R286" i="2"/>
  <c r="S286" i="2"/>
  <c r="T285" i="2"/>
  <c r="N190" i="2"/>
  <c r="Y385" i="2"/>
  <c r="M190" i="2"/>
  <c r="F367" i="2"/>
  <c r="D367" i="2"/>
  <c r="G367" i="2"/>
  <c r="U286" i="2"/>
  <c r="T286" i="2"/>
  <c r="Z385" i="2"/>
  <c r="AB385" i="2"/>
  <c r="Y386" i="2"/>
  <c r="K191" i="2"/>
  <c r="D368" i="2"/>
  <c r="E368" i="2"/>
  <c r="G368" i="2"/>
  <c r="D369" i="2"/>
  <c r="F369" i="2"/>
  <c r="R287" i="2"/>
  <c r="R288" i="2"/>
  <c r="Z386" i="2"/>
  <c r="AB386" i="2"/>
  <c r="Y387" i="2"/>
  <c r="Z387" i="2"/>
  <c r="AB387" i="2"/>
  <c r="AA385" i="2"/>
  <c r="AA386" i="2"/>
  <c r="L191" i="2"/>
  <c r="M191" i="2"/>
  <c r="F368" i="2"/>
  <c r="E369" i="2"/>
  <c r="G369" i="2"/>
  <c r="S287" i="2"/>
  <c r="T287" i="2"/>
  <c r="T288" i="2"/>
  <c r="AA388" i="2"/>
  <c r="AB388" i="2"/>
  <c r="Z388" i="2"/>
  <c r="Y388" i="2"/>
  <c r="N191" i="2"/>
  <c r="AA387" i="2"/>
  <c r="D370" i="2"/>
  <c r="U287" i="2"/>
  <c r="U288" i="2"/>
  <c r="R289" i="2"/>
  <c r="S289" i="2"/>
  <c r="S288" i="2"/>
  <c r="Y389" i="2"/>
  <c r="Z389" i="2"/>
  <c r="AB389" i="2"/>
  <c r="K192" i="2"/>
  <c r="E370" i="2"/>
  <c r="G370" i="2"/>
  <c r="T289" i="2"/>
  <c r="U289" i="2"/>
  <c r="AA389" i="2"/>
  <c r="AA390" i="2"/>
  <c r="Z390" i="2"/>
  <c r="Y390" i="2"/>
  <c r="AB390" i="2"/>
  <c r="L192" i="2"/>
  <c r="M192" i="2"/>
  <c r="F370" i="2"/>
  <c r="E371" i="2"/>
  <c r="D371" i="2"/>
  <c r="F371" i="2"/>
  <c r="R290" i="2"/>
  <c r="S290" i="2"/>
  <c r="N192" i="2"/>
  <c r="Y391" i="2"/>
  <c r="Y392" i="2"/>
  <c r="G371" i="2"/>
  <c r="U290" i="2"/>
  <c r="T290" i="2"/>
  <c r="K193" i="2"/>
  <c r="Z391" i="2"/>
  <c r="D372" i="2"/>
  <c r="R291" i="2"/>
  <c r="Z392" i="2"/>
  <c r="AB391" i="2"/>
  <c r="AB392" i="2"/>
  <c r="AA391" i="2"/>
  <c r="AA392" i="2"/>
  <c r="L193" i="2"/>
  <c r="N193" i="2"/>
  <c r="E372" i="2"/>
  <c r="G372" i="2"/>
  <c r="S291" i="2"/>
  <c r="U291" i="2"/>
  <c r="AA393" i="2"/>
  <c r="Z393" i="2"/>
  <c r="Y393" i="2"/>
  <c r="AB393" i="2"/>
  <c r="K194" i="2"/>
  <c r="M193" i="2"/>
  <c r="F372" i="2"/>
  <c r="E373" i="2"/>
  <c r="D373" i="2"/>
  <c r="F373" i="2"/>
  <c r="T291" i="2"/>
  <c r="R292" i="2"/>
  <c r="S292" i="2"/>
  <c r="U292" i="2"/>
  <c r="L194" i="2"/>
  <c r="M194" i="2"/>
  <c r="Y394" i="2"/>
  <c r="Z394" i="2"/>
  <c r="AB394" i="2"/>
  <c r="G373" i="2"/>
  <c r="R293" i="2"/>
  <c r="S293" i="2"/>
  <c r="T292" i="2"/>
  <c r="AA394" i="2"/>
  <c r="AA395" i="2"/>
  <c r="Z395" i="2"/>
  <c r="Y395" i="2"/>
  <c r="AB395" i="2"/>
  <c r="N194" i="2"/>
  <c r="D374" i="2"/>
  <c r="E374" i="2"/>
  <c r="U293" i="2"/>
  <c r="R294" i="2"/>
  <c r="S294" i="2"/>
  <c r="U294" i="2"/>
  <c r="T293" i="2"/>
  <c r="K195" i="2"/>
  <c r="Y396" i="2"/>
  <c r="Z396" i="2"/>
  <c r="AA396" i="2"/>
  <c r="F374" i="2"/>
  <c r="G374" i="2"/>
  <c r="D375" i="2"/>
  <c r="G375" i="2"/>
  <c r="R295" i="2"/>
  <c r="S295" i="2"/>
  <c r="T295" i="2"/>
  <c r="T294" i="2"/>
  <c r="AB396" i="2"/>
  <c r="AB397" i="2"/>
  <c r="L195" i="2"/>
  <c r="F375" i="2"/>
  <c r="E375" i="2"/>
  <c r="D376" i="2"/>
  <c r="E376" i="2"/>
  <c r="G376" i="2"/>
  <c r="U295" i="2"/>
  <c r="AA397" i="2"/>
  <c r="Y397" i="2"/>
  <c r="Z397" i="2"/>
  <c r="N195" i="2"/>
  <c r="Y398" i="2"/>
  <c r="M195" i="2"/>
  <c r="F376" i="2"/>
  <c r="E377" i="2"/>
  <c r="D377" i="2"/>
  <c r="G377" i="2"/>
  <c r="F377" i="2"/>
  <c r="R296" i="2"/>
  <c r="S296" i="2"/>
  <c r="U296" i="2"/>
  <c r="Z398" i="2"/>
  <c r="AB398" i="2"/>
  <c r="K196" i="2"/>
  <c r="D378" i="2"/>
  <c r="D379" i="2"/>
  <c r="R297" i="2"/>
  <c r="T296" i="2"/>
  <c r="AA398" i="2"/>
  <c r="AB399" i="2"/>
  <c r="Z399" i="2"/>
  <c r="Y399" i="2"/>
  <c r="AA399" i="2"/>
  <c r="K197" i="2"/>
  <c r="L196" i="2"/>
  <c r="E378" i="2"/>
  <c r="E379" i="2"/>
  <c r="S297" i="2"/>
  <c r="T297" i="2"/>
  <c r="L197" i="2"/>
  <c r="N196" i="2"/>
  <c r="N197" i="2"/>
  <c r="M196" i="2"/>
  <c r="M197" i="2"/>
  <c r="Y400" i="2"/>
  <c r="Z400" i="2"/>
  <c r="AB400" i="2"/>
  <c r="G378" i="2"/>
  <c r="G379" i="2"/>
  <c r="E380" i="2"/>
  <c r="F378" i="2"/>
  <c r="F379" i="2"/>
  <c r="U297" i="2"/>
  <c r="R298" i="2"/>
  <c r="S298" i="2"/>
  <c r="U298" i="2"/>
  <c r="AB401" i="2"/>
  <c r="AA401" i="2"/>
  <c r="Z401" i="2"/>
  <c r="Y401" i="2"/>
  <c r="K198" i="2"/>
  <c r="AA400" i="2"/>
  <c r="F380" i="2"/>
  <c r="D380" i="2"/>
  <c r="G380" i="2"/>
  <c r="R299" i="2"/>
  <c r="S299" i="2"/>
  <c r="T298" i="2"/>
  <c r="Y402" i="2"/>
  <c r="Z402" i="2"/>
  <c r="AB402" i="2"/>
  <c r="L198" i="2"/>
  <c r="M198" i="2"/>
  <c r="D381" i="2"/>
  <c r="E381" i="2"/>
  <c r="G381" i="2"/>
  <c r="F382" i="2"/>
  <c r="U299" i="2"/>
  <c r="T299" i="2"/>
  <c r="AA402" i="2"/>
  <c r="Y403" i="2"/>
  <c r="AB403" i="2"/>
  <c r="AA403" i="2"/>
  <c r="Z403" i="2"/>
  <c r="N198" i="2"/>
  <c r="F381" i="2"/>
  <c r="E382" i="2"/>
  <c r="D382" i="2"/>
  <c r="G382" i="2"/>
  <c r="D383" i="2"/>
  <c r="E383" i="2"/>
  <c r="G383" i="2"/>
  <c r="F384" i="2"/>
  <c r="R300" i="2"/>
  <c r="R301" i="2"/>
  <c r="Y404" i="2"/>
  <c r="Y405" i="2"/>
  <c r="K199" i="2"/>
  <c r="E384" i="2"/>
  <c r="D384" i="2"/>
  <c r="G384" i="2"/>
  <c r="D385" i="2"/>
  <c r="F383" i="2"/>
  <c r="S300" i="2"/>
  <c r="Z404" i="2"/>
  <c r="L199" i="2"/>
  <c r="E385" i="2"/>
  <c r="F385" i="2"/>
  <c r="T300" i="2"/>
  <c r="T301" i="2"/>
  <c r="S301" i="2"/>
  <c r="U300" i="2"/>
  <c r="U301" i="2"/>
  <c r="Z405" i="2"/>
  <c r="AB404" i="2"/>
  <c r="AB405" i="2"/>
  <c r="AA404" i="2"/>
  <c r="AA405" i="2"/>
  <c r="N199" i="2"/>
  <c r="M199" i="2"/>
  <c r="G385" i="2"/>
  <c r="R302" i="2"/>
  <c r="S302" i="2"/>
  <c r="AB406" i="2"/>
  <c r="Y407" i="2"/>
  <c r="Z407" i="2"/>
  <c r="AB407" i="2"/>
  <c r="AA406" i="2"/>
  <c r="Y406" i="2"/>
  <c r="Z406" i="2"/>
  <c r="K200" i="2"/>
  <c r="D386" i="2"/>
  <c r="G386" i="2"/>
  <c r="E386" i="2"/>
  <c r="F386" i="2"/>
  <c r="T302" i="2"/>
  <c r="U302" i="2"/>
  <c r="AA407" i="2"/>
  <c r="L200" i="2"/>
  <c r="M200" i="2"/>
  <c r="AB408" i="2"/>
  <c r="AA408" i="2"/>
  <c r="Z408" i="2"/>
  <c r="Y408" i="2"/>
  <c r="D387" i="2"/>
  <c r="E387" i="2"/>
  <c r="G387" i="2"/>
  <c r="R303" i="2"/>
  <c r="S303" i="2"/>
  <c r="Y409" i="2"/>
  <c r="N200" i="2"/>
  <c r="F387" i="2"/>
  <c r="D388" i="2"/>
  <c r="G388" i="2"/>
  <c r="F388" i="2"/>
  <c r="E388" i="2"/>
  <c r="T303" i="2"/>
  <c r="U303" i="2"/>
  <c r="Z409" i="2"/>
  <c r="AB409" i="2"/>
  <c r="AA410" i="2"/>
  <c r="K201" i="2"/>
  <c r="D389" i="2"/>
  <c r="E389" i="2"/>
  <c r="G389" i="2"/>
  <c r="R304" i="2"/>
  <c r="Y410" i="2"/>
  <c r="AB410" i="2"/>
  <c r="Z410" i="2"/>
  <c r="AA409" i="2"/>
  <c r="L201" i="2"/>
  <c r="F389" i="2"/>
  <c r="F390" i="2"/>
  <c r="E390" i="2"/>
  <c r="D390" i="2"/>
  <c r="G390" i="2"/>
  <c r="S304" i="2"/>
  <c r="U304" i="2"/>
  <c r="Y411" i="2"/>
  <c r="Z411" i="2"/>
  <c r="AB411" i="2"/>
  <c r="Z412" i="2"/>
  <c r="N201" i="2"/>
  <c r="M201" i="2"/>
  <c r="D391" i="2"/>
  <c r="D392" i="2"/>
  <c r="R305" i="2"/>
  <c r="S305" i="2"/>
  <c r="U305" i="2"/>
  <c r="T304" i="2"/>
  <c r="Y412" i="2"/>
  <c r="AA412" i="2"/>
  <c r="AA411" i="2"/>
  <c r="AB412" i="2"/>
  <c r="Y413" i="2"/>
  <c r="K202" i="2"/>
  <c r="E391" i="2"/>
  <c r="R306" i="2"/>
  <c r="S306" i="2"/>
  <c r="T306" i="2"/>
  <c r="T305" i="2"/>
  <c r="L202" i="2"/>
  <c r="M202" i="2"/>
  <c r="Z413" i="2"/>
  <c r="AB413" i="2"/>
  <c r="E392" i="2"/>
  <c r="G391" i="2"/>
  <c r="G392" i="2"/>
  <c r="F391" i="2"/>
  <c r="F392" i="2"/>
  <c r="U306" i="2"/>
  <c r="AA413" i="2"/>
  <c r="Y414" i="2"/>
  <c r="AB414" i="2"/>
  <c r="AA414" i="2"/>
  <c r="Z414" i="2"/>
  <c r="N202" i="2"/>
  <c r="E393" i="2"/>
  <c r="D393" i="2"/>
  <c r="G393" i="2"/>
  <c r="F393" i="2"/>
  <c r="R307" i="2"/>
  <c r="S307" i="2"/>
  <c r="U307" i="2"/>
  <c r="Y415" i="2"/>
  <c r="Z415" i="2"/>
  <c r="AB415" i="2"/>
  <c r="K203" i="2"/>
  <c r="D394" i="2"/>
  <c r="E394" i="2"/>
  <c r="G394" i="2"/>
  <c r="R308" i="2"/>
  <c r="S308" i="2"/>
  <c r="T308" i="2"/>
  <c r="T307" i="2"/>
  <c r="Y416" i="2"/>
  <c r="AA416" i="2"/>
  <c r="AB416" i="2"/>
  <c r="Z416" i="2"/>
  <c r="AA415" i="2"/>
  <c r="L203" i="2"/>
  <c r="E395" i="2"/>
  <c r="D395" i="2"/>
  <c r="G395" i="2"/>
  <c r="F395" i="2"/>
  <c r="F394" i="2"/>
  <c r="U308" i="2"/>
  <c r="Y417" i="2"/>
  <c r="Y418" i="2"/>
  <c r="N203" i="2"/>
  <c r="M203" i="2"/>
  <c r="D396" i="2"/>
  <c r="E396" i="2"/>
  <c r="R309" i="2"/>
  <c r="S309" i="2"/>
  <c r="U309" i="2"/>
  <c r="Z417" i="2"/>
  <c r="K204" i="2"/>
  <c r="F396" i="2"/>
  <c r="G396" i="2"/>
  <c r="R310" i="2"/>
  <c r="S310" i="2"/>
  <c r="T310" i="2"/>
  <c r="T309" i="2"/>
  <c r="Z418" i="2"/>
  <c r="AB417" i="2"/>
  <c r="AB418" i="2"/>
  <c r="L204" i="2"/>
  <c r="M204" i="2"/>
  <c r="AA417" i="2"/>
  <c r="AA418" i="2"/>
  <c r="D397" i="2"/>
  <c r="G397" i="2"/>
  <c r="E397" i="2"/>
  <c r="F397" i="2"/>
  <c r="U310" i="2"/>
  <c r="AB419" i="2"/>
  <c r="AA419" i="2"/>
  <c r="Z419" i="2"/>
  <c r="Y419" i="2"/>
  <c r="N204" i="2"/>
  <c r="D398" i="2"/>
  <c r="R311" i="2"/>
  <c r="S311" i="2"/>
  <c r="U311" i="2"/>
  <c r="Y420" i="2"/>
  <c r="Z420" i="2"/>
  <c r="AB420" i="2"/>
  <c r="K205" i="2"/>
  <c r="E398" i="2"/>
  <c r="G398" i="2"/>
  <c r="R312" i="2"/>
  <c r="S312" i="2"/>
  <c r="T311" i="2"/>
  <c r="AA420" i="2"/>
  <c r="AB421" i="2"/>
  <c r="Z421" i="2"/>
  <c r="Y421" i="2"/>
  <c r="AA421" i="2"/>
  <c r="L205" i="2"/>
  <c r="F399" i="2"/>
  <c r="D399" i="2"/>
  <c r="G399" i="2"/>
  <c r="E399" i="2"/>
  <c r="F398" i="2"/>
  <c r="T312" i="2"/>
  <c r="U312" i="2"/>
  <c r="Y422" i="2"/>
  <c r="Z422" i="2"/>
  <c r="N205" i="2"/>
  <c r="M205" i="2"/>
  <c r="D400" i="2"/>
  <c r="E400" i="2"/>
  <c r="G400" i="2"/>
  <c r="R313" i="2"/>
  <c r="R314" i="2"/>
  <c r="AA422" i="2"/>
  <c r="AB422" i="2"/>
  <c r="Z423" i="2"/>
  <c r="K206" i="2"/>
  <c r="F401" i="2"/>
  <c r="E401" i="2"/>
  <c r="D401" i="2"/>
  <c r="G401" i="2"/>
  <c r="F400" i="2"/>
  <c r="S313" i="2"/>
  <c r="AA423" i="2"/>
  <c r="Y423" i="2"/>
  <c r="AB423" i="2"/>
  <c r="L206" i="2"/>
  <c r="N206" i="2"/>
  <c r="D402" i="2"/>
  <c r="E402" i="2"/>
  <c r="F402" i="2"/>
  <c r="S314" i="2"/>
  <c r="U313" i="2"/>
  <c r="U314" i="2"/>
  <c r="T313" i="2"/>
  <c r="T314" i="2"/>
  <c r="Y424" i="2"/>
  <c r="Z424" i="2"/>
  <c r="AB424" i="2"/>
  <c r="Y425" i="2"/>
  <c r="K207" i="2"/>
  <c r="M206" i="2"/>
  <c r="G402" i="2"/>
  <c r="R315" i="2"/>
  <c r="AA424" i="2"/>
  <c r="AA425" i="2"/>
  <c r="Z425" i="2"/>
  <c r="AB425" i="2"/>
  <c r="Y426" i="2"/>
  <c r="Z426" i="2"/>
  <c r="AB426" i="2"/>
  <c r="L207" i="2"/>
  <c r="E403" i="2"/>
  <c r="G403" i="2"/>
  <c r="F403" i="2"/>
  <c r="D403" i="2"/>
  <c r="S315" i="2"/>
  <c r="T315" i="2"/>
  <c r="AA427" i="2"/>
  <c r="Z427" i="2"/>
  <c r="Y427" i="2"/>
  <c r="AB427" i="2"/>
  <c r="N207" i="2"/>
  <c r="AA426" i="2"/>
  <c r="M207" i="2"/>
  <c r="D404" i="2"/>
  <c r="D405" i="2"/>
  <c r="U315" i="2"/>
  <c r="R316" i="2"/>
  <c r="K208" i="2"/>
  <c r="Y428" i="2"/>
  <c r="Z428" i="2"/>
  <c r="AB428" i="2"/>
  <c r="E404" i="2"/>
  <c r="S316" i="2"/>
  <c r="U316" i="2"/>
  <c r="AA428" i="2"/>
  <c r="AB429" i="2"/>
  <c r="Z429" i="2"/>
  <c r="Y429" i="2"/>
  <c r="AA429" i="2"/>
  <c r="L208" i="2"/>
  <c r="M208" i="2"/>
  <c r="E405" i="2"/>
  <c r="G404" i="2"/>
  <c r="G405" i="2"/>
  <c r="F404" i="2"/>
  <c r="F405" i="2"/>
  <c r="T316" i="2"/>
  <c r="R317" i="2"/>
  <c r="Y430" i="2"/>
  <c r="Y431" i="2"/>
  <c r="N208" i="2"/>
  <c r="F406" i="2"/>
  <c r="E406" i="2"/>
  <c r="D406" i="2"/>
  <c r="G406" i="2"/>
  <c r="S317" i="2"/>
  <c r="U317" i="2"/>
  <c r="Z430" i="2"/>
  <c r="Z431" i="2"/>
  <c r="K209" i="2"/>
  <c r="D407" i="2"/>
  <c r="E407" i="2"/>
  <c r="G407" i="2"/>
  <c r="T317" i="2"/>
  <c r="R318" i="2"/>
  <c r="S318" i="2"/>
  <c r="U318" i="2"/>
  <c r="AB430" i="2"/>
  <c r="AB431" i="2"/>
  <c r="Y432" i="2"/>
  <c r="AA430" i="2"/>
  <c r="AA431" i="2"/>
  <c r="K210" i="2"/>
  <c r="L209" i="2"/>
  <c r="M209" i="2"/>
  <c r="M210" i="2"/>
  <c r="E408" i="2"/>
  <c r="D408" i="2"/>
  <c r="G408" i="2"/>
  <c r="F408" i="2"/>
  <c r="F407" i="2"/>
  <c r="R319" i="2"/>
  <c r="T318" i="2"/>
  <c r="AB432" i="2"/>
  <c r="Y433" i="2"/>
  <c r="Z433" i="2"/>
  <c r="AA432" i="2"/>
  <c r="Z432" i="2"/>
  <c r="L210" i="2"/>
  <c r="N209" i="2"/>
  <c r="N210" i="2"/>
  <c r="D409" i="2"/>
  <c r="E409" i="2"/>
  <c r="G409" i="2"/>
  <c r="S319" i="2"/>
  <c r="T319" i="2"/>
  <c r="AB433" i="2"/>
  <c r="AA433" i="2"/>
  <c r="K211" i="2"/>
  <c r="D410" i="2"/>
  <c r="F410" i="2"/>
  <c r="E410" i="2"/>
  <c r="G410" i="2"/>
  <c r="F409" i="2"/>
  <c r="U319" i="2"/>
  <c r="R320" i="2"/>
  <c r="S320" i="2"/>
  <c r="U320" i="2"/>
  <c r="Y434" i="2"/>
  <c r="AB434" i="2"/>
  <c r="AA434" i="2"/>
  <c r="Z434" i="2"/>
  <c r="L211" i="2"/>
  <c r="M211" i="2"/>
  <c r="D411" i="2"/>
  <c r="E411" i="2"/>
  <c r="G411" i="2"/>
  <c r="R321" i="2"/>
  <c r="S321" i="2"/>
  <c r="T320" i="2"/>
  <c r="Y435" i="2"/>
  <c r="Z435" i="2"/>
  <c r="AB435" i="2"/>
  <c r="N211" i="2"/>
  <c r="F411" i="2"/>
  <c r="F412" i="2"/>
  <c r="D412" i="2"/>
  <c r="G412" i="2"/>
  <c r="E412" i="2"/>
  <c r="T321" i="2"/>
  <c r="U321" i="2"/>
  <c r="AA435" i="2"/>
  <c r="AA436" i="2"/>
  <c r="Z436" i="2"/>
  <c r="Y436" i="2"/>
  <c r="AB436" i="2"/>
  <c r="K212" i="2"/>
  <c r="D413" i="2"/>
  <c r="E413" i="2"/>
  <c r="G413" i="2"/>
  <c r="R322" i="2"/>
  <c r="S322" i="2"/>
  <c r="U322" i="2"/>
  <c r="L212" i="2"/>
  <c r="Y437" i="2"/>
  <c r="Z437" i="2"/>
  <c r="AB437" i="2"/>
  <c r="F413" i="2"/>
  <c r="E414" i="2"/>
  <c r="D414" i="2"/>
  <c r="F414" i="2"/>
  <c r="G414" i="2"/>
  <c r="D415" i="2"/>
  <c r="E415" i="2"/>
  <c r="G415" i="2"/>
  <c r="F416" i="2"/>
  <c r="R323" i="2"/>
  <c r="S323" i="2"/>
  <c r="T322" i="2"/>
  <c r="AA437" i="2"/>
  <c r="AB438" i="2"/>
  <c r="AA438" i="2"/>
  <c r="Z438" i="2"/>
  <c r="Y438" i="2"/>
  <c r="N212" i="2"/>
  <c r="M212" i="2"/>
  <c r="D416" i="2"/>
  <c r="G416" i="2"/>
  <c r="E416" i="2"/>
  <c r="F415" i="2"/>
  <c r="U323" i="2"/>
  <c r="T323" i="2"/>
  <c r="K213" i="2"/>
  <c r="Y439" i="2"/>
  <c r="Z439" i="2"/>
  <c r="D417" i="2"/>
  <c r="D418" i="2"/>
  <c r="R324" i="2"/>
  <c r="S324" i="2"/>
  <c r="U324" i="2"/>
  <c r="AB439" i="2"/>
  <c r="AA439" i="2"/>
  <c r="L213" i="2"/>
  <c r="M213" i="2"/>
  <c r="E417" i="2"/>
  <c r="F417" i="2"/>
  <c r="F418" i="2"/>
  <c r="R325" i="2"/>
  <c r="S325" i="2"/>
  <c r="T325" i="2"/>
  <c r="T324" i="2"/>
  <c r="AA440" i="2"/>
  <c r="AB440" i="2"/>
  <c r="Z440" i="2"/>
  <c r="Y440" i="2"/>
  <c r="N213" i="2"/>
  <c r="E418" i="2"/>
  <c r="G417" i="2"/>
  <c r="G418" i="2"/>
  <c r="U325" i="2"/>
  <c r="Y441" i="2"/>
  <c r="Z441" i="2"/>
  <c r="AB441" i="2"/>
  <c r="K214" i="2"/>
  <c r="E419" i="2"/>
  <c r="D419" i="2"/>
  <c r="G419" i="2"/>
  <c r="F419" i="2"/>
  <c r="R326" i="2"/>
  <c r="R327" i="2"/>
  <c r="AA441" i="2"/>
  <c r="Y442" i="2"/>
  <c r="AB442" i="2"/>
  <c r="AA442" i="2"/>
  <c r="Z442" i="2"/>
  <c r="L214" i="2"/>
  <c r="D420" i="2"/>
  <c r="S326" i="2"/>
  <c r="T326" i="2"/>
  <c r="T327" i="2"/>
  <c r="N214" i="2"/>
  <c r="Y443" i="2"/>
  <c r="Y444" i="2"/>
  <c r="M214" i="2"/>
  <c r="E420" i="2"/>
  <c r="G420" i="2"/>
  <c r="S327" i="2"/>
  <c r="U326" i="2"/>
  <c r="U327" i="2"/>
  <c r="Z443" i="2"/>
  <c r="Z444" i="2"/>
  <c r="K215" i="2"/>
  <c r="F420" i="2"/>
  <c r="D421" i="2"/>
  <c r="G421" i="2"/>
  <c r="E421" i="2"/>
  <c r="F421" i="2"/>
  <c r="R328" i="2"/>
  <c r="S328" i="2"/>
  <c r="T328" i="2"/>
  <c r="AB443" i="2"/>
  <c r="AB444" i="2"/>
  <c r="AB445" i="2"/>
  <c r="AA443" i="2"/>
  <c r="AA444" i="2"/>
  <c r="L215" i="2"/>
  <c r="D422" i="2"/>
  <c r="E422" i="2"/>
  <c r="G422" i="2"/>
  <c r="U328" i="2"/>
  <c r="Y445" i="2"/>
  <c r="AA445" i="2"/>
  <c r="Z445" i="2"/>
  <c r="Y446" i="2"/>
  <c r="Z446" i="2"/>
  <c r="N215" i="2"/>
  <c r="M215" i="2"/>
  <c r="D423" i="2"/>
  <c r="F423" i="2"/>
  <c r="E423" i="2"/>
  <c r="G423" i="2"/>
  <c r="D424" i="2"/>
  <c r="E424" i="2"/>
  <c r="F424" i="2"/>
  <c r="F422" i="2"/>
  <c r="R329" i="2"/>
  <c r="S329" i="2"/>
  <c r="AB446" i="2"/>
  <c r="K216" i="2"/>
  <c r="AA446" i="2"/>
  <c r="G424" i="2"/>
  <c r="U329" i="2"/>
  <c r="T329" i="2"/>
  <c r="Z447" i="2"/>
  <c r="Y447" i="2"/>
  <c r="AB447" i="2"/>
  <c r="AA447" i="2"/>
  <c r="L216" i="2"/>
  <c r="M216" i="2"/>
  <c r="F425" i="2"/>
  <c r="E425" i="2"/>
  <c r="D425" i="2"/>
  <c r="G425" i="2"/>
  <c r="R330" i="2"/>
  <c r="S330" i="2"/>
  <c r="Y448" i="2"/>
  <c r="N216" i="2"/>
  <c r="D426" i="2"/>
  <c r="E426" i="2"/>
  <c r="T330" i="2"/>
  <c r="U330" i="2"/>
  <c r="Z448" i="2"/>
  <c r="AB448" i="2"/>
  <c r="K217" i="2"/>
  <c r="F426" i="2"/>
  <c r="G426" i="2"/>
  <c r="R331" i="2"/>
  <c r="S331" i="2"/>
  <c r="U331" i="2"/>
  <c r="AA448" i="2"/>
  <c r="L217" i="2"/>
  <c r="M217" i="2"/>
  <c r="AB449" i="2"/>
  <c r="Z449" i="2"/>
  <c r="Y449" i="2"/>
  <c r="AA449" i="2"/>
  <c r="D427" i="2"/>
  <c r="F427" i="2"/>
  <c r="E427" i="2"/>
  <c r="R332" i="2"/>
  <c r="T331" i="2"/>
  <c r="Y450" i="2"/>
  <c r="Z450" i="2"/>
  <c r="AB450" i="2"/>
  <c r="N217" i="2"/>
  <c r="G427" i="2"/>
  <c r="S332" i="2"/>
  <c r="T332" i="2"/>
  <c r="Z451" i="2"/>
  <c r="Y451" i="2"/>
  <c r="AB451" i="2"/>
  <c r="AA451" i="2"/>
  <c r="K218" i="2"/>
  <c r="AA450" i="2"/>
  <c r="D428" i="2"/>
  <c r="U332" i="2"/>
  <c r="R333" i="2"/>
  <c r="S333" i="2"/>
  <c r="U333" i="2"/>
  <c r="L218" i="2"/>
  <c r="Y452" i="2"/>
  <c r="Z452" i="2"/>
  <c r="E428" i="2"/>
  <c r="G428" i="2"/>
  <c r="R334" i="2"/>
  <c r="T333" i="2"/>
  <c r="AA452" i="2"/>
  <c r="AB452" i="2"/>
  <c r="N218" i="2"/>
  <c r="M218" i="2"/>
  <c r="D429" i="2"/>
  <c r="G429" i="2"/>
  <c r="D430" i="2"/>
  <c r="D431" i="2"/>
  <c r="E429" i="2"/>
  <c r="F429" i="2"/>
  <c r="F428" i="2"/>
  <c r="S334" i="2"/>
  <c r="T334" i="2"/>
  <c r="K219" i="2"/>
  <c r="AB453" i="2"/>
  <c r="AA453" i="2"/>
  <c r="Z453" i="2"/>
  <c r="Y453" i="2"/>
  <c r="E430" i="2"/>
  <c r="E431" i="2"/>
  <c r="U334" i="2"/>
  <c r="R335" i="2"/>
  <c r="L219" i="2"/>
  <c r="N219" i="2"/>
  <c r="Y454" i="2"/>
  <c r="F430" i="2"/>
  <c r="F431" i="2"/>
  <c r="G430" i="2"/>
  <c r="G431" i="2"/>
  <c r="E432" i="2"/>
  <c r="F432" i="2"/>
  <c r="S335" i="2"/>
  <c r="U335" i="2"/>
  <c r="Z454" i="2"/>
  <c r="AB454" i="2"/>
  <c r="AA455" i="2"/>
  <c r="M219" i="2"/>
  <c r="K220" i="2"/>
  <c r="D432" i="2"/>
  <c r="G432" i="2"/>
  <c r="D433" i="2"/>
  <c r="E433" i="2"/>
  <c r="G433" i="2"/>
  <c r="T335" i="2"/>
  <c r="R336" i="2"/>
  <c r="Z455" i="2"/>
  <c r="Y455" i="2"/>
  <c r="AA454" i="2"/>
  <c r="AB455" i="2"/>
  <c r="Y456" i="2"/>
  <c r="L220" i="2"/>
  <c r="M220" i="2"/>
  <c r="F433" i="2"/>
  <c r="F434" i="2"/>
  <c r="E434" i="2"/>
  <c r="D434" i="2"/>
  <c r="G434" i="2"/>
  <c r="S336" i="2"/>
  <c r="U336" i="2"/>
  <c r="Y457" i="2"/>
  <c r="N220" i="2"/>
  <c r="Z456" i="2"/>
  <c r="D435" i="2"/>
  <c r="E435" i="2"/>
  <c r="G435" i="2"/>
  <c r="T336" i="2"/>
  <c r="R337" i="2"/>
  <c r="S337" i="2"/>
  <c r="U337" i="2"/>
  <c r="K221" i="2"/>
  <c r="Z457" i="2"/>
  <c r="AB456" i="2"/>
  <c r="AB457" i="2"/>
  <c r="AA456" i="2"/>
  <c r="AA457" i="2"/>
  <c r="F435" i="2"/>
  <c r="E436" i="2"/>
  <c r="F436" i="2"/>
  <c r="D436" i="2"/>
  <c r="G436" i="2"/>
  <c r="R338" i="2"/>
  <c r="S338" i="2"/>
  <c r="T338" i="2"/>
  <c r="T337" i="2"/>
  <c r="L221" i="2"/>
  <c r="M221" i="2"/>
  <c r="Z458" i="2"/>
  <c r="Y458" i="2"/>
  <c r="AB458" i="2"/>
  <c r="AA458" i="2"/>
  <c r="D437" i="2"/>
  <c r="E437" i="2"/>
  <c r="U338" i="2"/>
  <c r="N221" i="2"/>
  <c r="Y459" i="2"/>
  <c r="F437" i="2"/>
  <c r="G437" i="2"/>
  <c r="R339" i="2"/>
  <c r="R340" i="2"/>
  <c r="Z459" i="2"/>
  <c r="K222" i="2"/>
  <c r="D438" i="2"/>
  <c r="G438" i="2"/>
  <c r="F438" i="2"/>
  <c r="E438" i="2"/>
  <c r="S339" i="2"/>
  <c r="AB459" i="2"/>
  <c r="AA459" i="2"/>
  <c r="K223" i="2"/>
  <c r="L222" i="2"/>
  <c r="M222" i="2"/>
  <c r="M223" i="2"/>
  <c r="D439" i="2"/>
  <c r="E439" i="2"/>
  <c r="S340" i="2"/>
  <c r="U339" i="2"/>
  <c r="U340" i="2"/>
  <c r="T339" i="2"/>
  <c r="T340" i="2"/>
  <c r="L223" i="2"/>
  <c r="N222" i="2"/>
  <c r="N223" i="2"/>
  <c r="Z460" i="2"/>
  <c r="Y460" i="2"/>
  <c r="AB460" i="2"/>
  <c r="AA460" i="2"/>
  <c r="F439" i="2"/>
  <c r="G439" i="2"/>
  <c r="R341" i="2"/>
  <c r="Y461" i="2"/>
  <c r="Z461" i="2"/>
  <c r="AB461" i="2"/>
  <c r="K224" i="2"/>
  <c r="E440" i="2"/>
  <c r="D440" i="2"/>
  <c r="F440" i="2"/>
  <c r="S341" i="2"/>
  <c r="U341" i="2"/>
  <c r="Z462" i="2"/>
  <c r="Y462" i="2"/>
  <c r="AB462" i="2"/>
  <c r="AA462" i="2"/>
  <c r="L224" i="2"/>
  <c r="M224" i="2"/>
  <c r="AA461" i="2"/>
  <c r="G440" i="2"/>
  <c r="T341" i="2"/>
  <c r="R342" i="2"/>
  <c r="N224" i="2"/>
  <c r="Y463" i="2"/>
  <c r="Z463" i="2"/>
  <c r="AB463" i="2"/>
  <c r="D441" i="2"/>
  <c r="S342" i="2"/>
  <c r="U342" i="2"/>
  <c r="AA463" i="2"/>
  <c r="Z464" i="2"/>
  <c r="Y464" i="2"/>
  <c r="AA464" i="2"/>
  <c r="AB464" i="2"/>
  <c r="K225" i="2"/>
  <c r="E441" i="2"/>
  <c r="G441" i="2"/>
  <c r="T342" i="2"/>
  <c r="R343" i="2"/>
  <c r="S343" i="2"/>
  <c r="T343" i="2"/>
  <c r="L225" i="2"/>
  <c r="M225" i="2"/>
  <c r="Y465" i="2"/>
  <c r="Z465" i="2"/>
  <c r="F441" i="2"/>
  <c r="G442" i="2"/>
  <c r="E442" i="2"/>
  <c r="F442" i="2"/>
  <c r="D442" i="2"/>
  <c r="U343" i="2"/>
  <c r="AA465" i="2"/>
  <c r="AB465" i="2"/>
  <c r="AB466" i="2"/>
  <c r="N225" i="2"/>
  <c r="D443" i="2"/>
  <c r="D444" i="2"/>
  <c r="R344" i="2"/>
  <c r="S344" i="2"/>
  <c r="U344" i="2"/>
  <c r="AA466" i="2"/>
  <c r="Z466" i="2"/>
  <c r="Y466" i="2"/>
  <c r="K226" i="2"/>
  <c r="Y467" i="2"/>
  <c r="Z467" i="2"/>
  <c r="E443" i="2"/>
  <c r="E444" i="2"/>
  <c r="R345" i="2"/>
  <c r="T344" i="2"/>
  <c r="AA467" i="2"/>
  <c r="AB467" i="2"/>
  <c r="AB468" i="2"/>
  <c r="L226" i="2"/>
  <c r="F443" i="2"/>
  <c r="F444" i="2"/>
  <c r="G443" i="2"/>
  <c r="G444" i="2"/>
  <c r="F445" i="2"/>
  <c r="S345" i="2"/>
  <c r="T345" i="2"/>
  <c r="Z468" i="2"/>
  <c r="Y468" i="2"/>
  <c r="AA468" i="2"/>
  <c r="N226" i="2"/>
  <c r="Y469" i="2"/>
  <c r="M226" i="2"/>
  <c r="D445" i="2"/>
  <c r="G445" i="2"/>
  <c r="E445" i="2"/>
  <c r="U345" i="2"/>
  <c r="R346" i="2"/>
  <c r="S346" i="2"/>
  <c r="U346" i="2"/>
  <c r="Y470" i="2"/>
  <c r="Z469" i="2"/>
  <c r="AA469" i="2"/>
  <c r="AA470" i="2"/>
  <c r="K227" i="2"/>
  <c r="D446" i="2"/>
  <c r="E446" i="2"/>
  <c r="G446" i="2"/>
  <c r="E447" i="2"/>
  <c r="T346" i="2"/>
  <c r="R347" i="2"/>
  <c r="Z470" i="2"/>
  <c r="AB469" i="2"/>
  <c r="AB470" i="2"/>
  <c r="L227" i="2"/>
  <c r="F446" i="2"/>
  <c r="F447" i="2"/>
  <c r="D447" i="2"/>
  <c r="G447" i="2"/>
  <c r="D448" i="2"/>
  <c r="E448" i="2"/>
  <c r="S347" i="2"/>
  <c r="U347" i="2"/>
  <c r="AB471" i="2"/>
  <c r="Y472" i="2"/>
  <c r="Z471" i="2"/>
  <c r="AA471" i="2"/>
  <c r="Y471" i="2"/>
  <c r="N227" i="2"/>
  <c r="M227" i="2"/>
  <c r="F448" i="2"/>
  <c r="G448" i="2"/>
  <c r="T347" i="2"/>
  <c r="R348" i="2"/>
  <c r="Z472" i="2"/>
  <c r="AB472" i="2"/>
  <c r="K228" i="2"/>
  <c r="D449" i="2"/>
  <c r="G449" i="2"/>
  <c r="E449" i="2"/>
  <c r="F449" i="2"/>
  <c r="S348" i="2"/>
  <c r="U348" i="2"/>
  <c r="AA472" i="2"/>
  <c r="Y473" i="2"/>
  <c r="AB473" i="2"/>
  <c r="AA473" i="2"/>
  <c r="Z473" i="2"/>
  <c r="L228" i="2"/>
  <c r="D450" i="2"/>
  <c r="E450" i="2"/>
  <c r="G450" i="2"/>
  <c r="T348" i="2"/>
  <c r="R349" i="2"/>
  <c r="S349" i="2"/>
  <c r="T349" i="2"/>
  <c r="Y474" i="2"/>
  <c r="Z474" i="2"/>
  <c r="AB474" i="2"/>
  <c r="N228" i="2"/>
  <c r="M228" i="2"/>
  <c r="F450" i="2"/>
  <c r="D451" i="2"/>
  <c r="G451" i="2"/>
  <c r="F451" i="2"/>
  <c r="E451" i="2"/>
  <c r="U349" i="2"/>
  <c r="AA474" i="2"/>
  <c r="AA475" i="2"/>
  <c r="Z475" i="2"/>
  <c r="Y475" i="2"/>
  <c r="AB475" i="2"/>
  <c r="K229" i="2"/>
  <c r="D452" i="2"/>
  <c r="E452" i="2"/>
  <c r="R350" i="2"/>
  <c r="S350" i="2"/>
  <c r="T350" i="2"/>
  <c r="Y476" i="2"/>
  <c r="Z476" i="2"/>
  <c r="AA476" i="2"/>
  <c r="L229" i="2"/>
  <c r="F452" i="2"/>
  <c r="G452" i="2"/>
  <c r="U350" i="2"/>
  <c r="AB476" i="2"/>
  <c r="Z477" i="2"/>
  <c r="N229" i="2"/>
  <c r="M229" i="2"/>
  <c r="D453" i="2"/>
  <c r="F453" i="2"/>
  <c r="E453" i="2"/>
  <c r="R351" i="2"/>
  <c r="Y477" i="2"/>
  <c r="AB477" i="2"/>
  <c r="Y478" i="2"/>
  <c r="Z478" i="2"/>
  <c r="AB478" i="2"/>
  <c r="AA477" i="2"/>
  <c r="K230" i="2"/>
  <c r="G453" i="2"/>
  <c r="D454" i="2"/>
  <c r="E454" i="2"/>
  <c r="S351" i="2"/>
  <c r="U351" i="2"/>
  <c r="Y479" i="2"/>
  <c r="AB479" i="2"/>
  <c r="AA479" i="2"/>
  <c r="Z479" i="2"/>
  <c r="L230" i="2"/>
  <c r="M230" i="2"/>
  <c r="AA478" i="2"/>
  <c r="F454" i="2"/>
  <c r="G454" i="2"/>
  <c r="T351" i="2"/>
  <c r="R352" i="2"/>
  <c r="R353" i="2"/>
  <c r="Y480" i="2"/>
  <c r="Z480" i="2"/>
  <c r="AB480" i="2"/>
  <c r="N230" i="2"/>
  <c r="E455" i="2"/>
  <c r="G455" i="2"/>
  <c r="D455" i="2"/>
  <c r="F455" i="2"/>
  <c r="S352" i="2"/>
  <c r="AA480" i="2"/>
  <c r="AA481" i="2"/>
  <c r="Z481" i="2"/>
  <c r="Y481" i="2"/>
  <c r="AB481" i="2"/>
  <c r="K231" i="2"/>
  <c r="D456" i="2"/>
  <c r="D457" i="2"/>
  <c r="S353" i="2"/>
  <c r="T352" i="2"/>
  <c r="T353" i="2"/>
  <c r="U352" i="2"/>
  <c r="U353" i="2"/>
  <c r="L231" i="2"/>
  <c r="M231" i="2"/>
  <c r="Y482" i="2"/>
  <c r="Y483" i="2"/>
  <c r="E456" i="2"/>
  <c r="E457" i="2"/>
  <c r="R354" i="2"/>
  <c r="N231" i="2"/>
  <c r="Z482" i="2"/>
  <c r="F456" i="2"/>
  <c r="F457" i="2"/>
  <c r="G456" i="2"/>
  <c r="G457" i="2"/>
  <c r="D458" i="2"/>
  <c r="G458" i="2"/>
  <c r="S354" i="2"/>
  <c r="U354" i="2"/>
  <c r="Z483" i="2"/>
  <c r="AB482" i="2"/>
  <c r="AB483" i="2"/>
  <c r="AA482" i="2"/>
  <c r="AA483" i="2"/>
  <c r="K232" i="2"/>
  <c r="E458" i="2"/>
  <c r="F458" i="2"/>
  <c r="D459" i="2"/>
  <c r="E459" i="2"/>
  <c r="T354" i="2"/>
  <c r="R355" i="2"/>
  <c r="S355" i="2"/>
  <c r="L232" i="2"/>
  <c r="N232" i="2"/>
  <c r="Z484" i="2"/>
  <c r="Y484" i="2"/>
  <c r="AB484" i="2"/>
  <c r="AA484" i="2"/>
  <c r="F459" i="2"/>
  <c r="G459" i="2"/>
  <c r="T355" i="2"/>
  <c r="U355" i="2"/>
  <c r="K233" i="2"/>
  <c r="M232" i="2"/>
  <c r="Y485" i="2"/>
  <c r="Z485" i="2"/>
  <c r="D460" i="2"/>
  <c r="G460" i="2"/>
  <c r="E460" i="2"/>
  <c r="F460" i="2"/>
  <c r="R356" i="2"/>
  <c r="S356" i="2"/>
  <c r="AA485" i="2"/>
  <c r="AB485" i="2"/>
  <c r="AA486" i="2"/>
  <c r="L233" i="2"/>
  <c r="M233" i="2"/>
  <c r="D461" i="2"/>
  <c r="U356" i="2"/>
  <c r="T356" i="2"/>
  <c r="Z486" i="2"/>
  <c r="AB486" i="2"/>
  <c r="Y487" i="2"/>
  <c r="Y486" i="2"/>
  <c r="N233" i="2"/>
  <c r="E461" i="2"/>
  <c r="F461" i="2"/>
  <c r="R357" i="2"/>
  <c r="S357" i="2"/>
  <c r="Z487" i="2"/>
  <c r="AB487" i="2"/>
  <c r="K234" i="2"/>
  <c r="G461" i="2"/>
  <c r="E462" i="2"/>
  <c r="G462" i="2"/>
  <c r="D463" i="2"/>
  <c r="E463" i="2"/>
  <c r="G463" i="2"/>
  <c r="T357" i="2"/>
  <c r="U357" i="2"/>
  <c r="AA487" i="2"/>
  <c r="L234" i="2"/>
  <c r="M234" i="2"/>
  <c r="AA488" i="2"/>
  <c r="AB488" i="2"/>
  <c r="Z488" i="2"/>
  <c r="Y488" i="2"/>
  <c r="D462" i="2"/>
  <c r="F462" i="2"/>
  <c r="F463" i="2"/>
  <c r="D464" i="2"/>
  <c r="G464" i="2"/>
  <c r="E464" i="2"/>
  <c r="F464" i="2"/>
  <c r="R358" i="2"/>
  <c r="N234" i="2"/>
  <c r="Y489" i="2"/>
  <c r="Z489" i="2"/>
  <c r="AB489" i="2"/>
  <c r="D465" i="2"/>
  <c r="E465" i="2"/>
  <c r="S358" i="2"/>
  <c r="T358" i="2"/>
  <c r="Y490" i="2"/>
  <c r="AB490" i="2"/>
  <c r="AA490" i="2"/>
  <c r="Z490" i="2"/>
  <c r="K235" i="2"/>
  <c r="AA489" i="2"/>
  <c r="F465" i="2"/>
  <c r="G465" i="2"/>
  <c r="U358" i="2"/>
  <c r="R359" i="2"/>
  <c r="K236" i="2"/>
  <c r="L235" i="2"/>
  <c r="M235" i="2"/>
  <c r="M236" i="2"/>
  <c r="Y491" i="2"/>
  <c r="Z491" i="2"/>
  <c r="AB491" i="2"/>
  <c r="E466" i="2"/>
  <c r="D466" i="2"/>
  <c r="F466" i="2"/>
  <c r="S359" i="2"/>
  <c r="U359" i="2"/>
  <c r="Y492" i="2"/>
  <c r="AB492" i="2"/>
  <c r="AA492" i="2"/>
  <c r="Z492" i="2"/>
  <c r="AA491" i="2"/>
  <c r="L236" i="2"/>
  <c r="N235" i="2"/>
  <c r="N236" i="2"/>
  <c r="G466" i="2"/>
  <c r="T359" i="2"/>
  <c r="R360" i="2"/>
  <c r="Y493" i="2"/>
  <c r="Z493" i="2"/>
  <c r="AB493" i="2"/>
  <c r="K237" i="2"/>
  <c r="D467" i="2"/>
  <c r="E467" i="2"/>
  <c r="G467" i="2"/>
  <c r="S360" i="2"/>
  <c r="U360" i="2"/>
  <c r="Z494" i="2"/>
  <c r="Y494" i="2"/>
  <c r="AB494" i="2"/>
  <c r="AA494" i="2"/>
  <c r="AA493" i="2"/>
  <c r="L237" i="2"/>
  <c r="M237" i="2"/>
  <c r="F467" i="2"/>
  <c r="E468" i="2"/>
  <c r="D468" i="2"/>
  <c r="G468" i="2"/>
  <c r="F468" i="2"/>
  <c r="T360" i="2"/>
  <c r="R361" i="2"/>
  <c r="Y495" i="2"/>
  <c r="Y496" i="2"/>
  <c r="N237" i="2"/>
  <c r="D469" i="2"/>
  <c r="D470" i="2"/>
  <c r="S361" i="2"/>
  <c r="U361" i="2"/>
  <c r="Z495" i="2"/>
  <c r="Z496" i="2"/>
  <c r="K238" i="2"/>
  <c r="E469" i="2"/>
  <c r="E470" i="2"/>
  <c r="T361" i="2"/>
  <c r="R362" i="2"/>
  <c r="S362" i="2"/>
  <c r="U362" i="2"/>
  <c r="AA495" i="2"/>
  <c r="AA496" i="2"/>
  <c r="AB495" i="2"/>
  <c r="AB496" i="2"/>
  <c r="Z497" i="2"/>
  <c r="L238" i="2"/>
  <c r="F469" i="2"/>
  <c r="F470" i="2"/>
  <c r="G469" i="2"/>
  <c r="G470" i="2"/>
  <c r="E471" i="2"/>
  <c r="F471" i="2"/>
  <c r="R363" i="2"/>
  <c r="S363" i="2"/>
  <c r="U363" i="2"/>
  <c r="T362" i="2"/>
  <c r="Y497" i="2"/>
  <c r="AB497" i="2"/>
  <c r="Y498" i="2"/>
  <c r="Z498" i="2"/>
  <c r="AA497" i="2"/>
  <c r="N238" i="2"/>
  <c r="M238" i="2"/>
  <c r="D471" i="2"/>
  <c r="G471" i="2"/>
  <c r="R364" i="2"/>
  <c r="T363" i="2"/>
  <c r="AB498" i="2"/>
  <c r="K239" i="2"/>
  <c r="AA498" i="2"/>
  <c r="D472" i="2"/>
  <c r="E472" i="2"/>
  <c r="G472" i="2"/>
  <c r="S364" i="2"/>
  <c r="T364" i="2"/>
  <c r="Y499" i="2"/>
  <c r="AB499" i="2"/>
  <c r="AA499" i="2"/>
  <c r="Z499" i="2"/>
  <c r="L239" i="2"/>
  <c r="F472" i="2"/>
  <c r="D473" i="2"/>
  <c r="F473" i="2"/>
  <c r="E473" i="2"/>
  <c r="U364" i="2"/>
  <c r="R365" i="2"/>
  <c r="R366" i="2"/>
  <c r="N239" i="2"/>
  <c r="Y500" i="2"/>
  <c r="Z500" i="2"/>
  <c r="M239" i="2"/>
  <c r="G473" i="2"/>
  <c r="S365" i="2"/>
  <c r="AB500" i="2"/>
  <c r="Y501" i="2"/>
  <c r="AA500" i="2"/>
  <c r="K240" i="2"/>
  <c r="D474" i="2"/>
  <c r="E474" i="2"/>
  <c r="S366" i="2"/>
  <c r="U365" i="2"/>
  <c r="U366" i="2"/>
  <c r="T365" i="2"/>
  <c r="T366" i="2"/>
  <c r="Z501" i="2"/>
  <c r="AB501" i="2"/>
  <c r="Y502" i="2"/>
  <c r="Z502" i="2"/>
  <c r="AA501" i="2"/>
  <c r="L240" i="2"/>
  <c r="F474" i="2"/>
  <c r="G474" i="2"/>
  <c r="E475" i="2"/>
  <c r="R367" i="2"/>
  <c r="S367" i="2"/>
  <c r="T367" i="2"/>
  <c r="AB502" i="2"/>
  <c r="AA502" i="2"/>
  <c r="N240" i="2"/>
  <c r="M240" i="2"/>
  <c r="D475" i="2"/>
  <c r="G475" i="2"/>
  <c r="D476" i="2"/>
  <c r="E476" i="2"/>
  <c r="G476" i="2"/>
  <c r="F475" i="2"/>
  <c r="U367" i="2"/>
  <c r="AA503" i="2"/>
  <c r="Z503" i="2"/>
  <c r="Y503" i="2"/>
  <c r="AB503" i="2"/>
  <c r="K241" i="2"/>
  <c r="F476" i="2"/>
  <c r="D477" i="2"/>
  <c r="F477" i="2"/>
  <c r="E477" i="2"/>
  <c r="R368" i="2"/>
  <c r="L241" i="2"/>
  <c r="M241" i="2"/>
  <c r="Y504" i="2"/>
  <c r="Z504" i="2"/>
  <c r="AA504" i="2"/>
  <c r="G477" i="2"/>
  <c r="S368" i="2"/>
  <c r="U368" i="2"/>
  <c r="AB504" i="2"/>
  <c r="Y505" i="2"/>
  <c r="N241" i="2"/>
  <c r="D478" i="2"/>
  <c r="E478" i="2"/>
  <c r="G478" i="2"/>
  <c r="T368" i="2"/>
  <c r="R369" i="2"/>
  <c r="S369" i="2"/>
  <c r="T369" i="2"/>
  <c r="AA505" i="2"/>
  <c r="AB505" i="2"/>
  <c r="Z505" i="2"/>
  <c r="K242" i="2"/>
  <c r="F478" i="2"/>
  <c r="E479" i="2"/>
  <c r="D479" i="2"/>
  <c r="F479" i="2"/>
  <c r="U369" i="2"/>
  <c r="Y506" i="2"/>
  <c r="Z506" i="2"/>
  <c r="AB506" i="2"/>
  <c r="L242" i="2"/>
  <c r="M242" i="2"/>
  <c r="G479" i="2"/>
  <c r="R370" i="2"/>
  <c r="S370" i="2"/>
  <c r="U370" i="2"/>
  <c r="AA507" i="2"/>
  <c r="Y507" i="2"/>
  <c r="Z507" i="2"/>
  <c r="AB507" i="2"/>
  <c r="Y508" i="2"/>
  <c r="AA506" i="2"/>
  <c r="N242" i="2"/>
  <c r="D480" i="2"/>
  <c r="E480" i="2"/>
  <c r="G480" i="2"/>
  <c r="R371" i="2"/>
  <c r="T370" i="2"/>
  <c r="Y509" i="2"/>
  <c r="Z508" i="2"/>
  <c r="Z509" i="2"/>
  <c r="K243" i="2"/>
  <c r="F480" i="2"/>
  <c r="D481" i="2"/>
  <c r="F481" i="2"/>
  <c r="E481" i="2"/>
  <c r="S371" i="2"/>
  <c r="T371" i="2"/>
  <c r="AB508" i="2"/>
  <c r="AB509" i="2"/>
  <c r="Y510" i="2"/>
  <c r="AA508" i="2"/>
  <c r="AA509" i="2"/>
  <c r="L243" i="2"/>
  <c r="M243" i="2"/>
  <c r="G481" i="2"/>
  <c r="D482" i="2"/>
  <c r="D483" i="2"/>
  <c r="U371" i="2"/>
  <c r="R372" i="2"/>
  <c r="AB510" i="2"/>
  <c r="Y511" i="2"/>
  <c r="Z511" i="2"/>
  <c r="AB511" i="2"/>
  <c r="AA510" i="2"/>
  <c r="Z510" i="2"/>
  <c r="N243" i="2"/>
  <c r="E482" i="2"/>
  <c r="E483" i="2"/>
  <c r="S372" i="2"/>
  <c r="U372" i="2"/>
  <c r="R373" i="2"/>
  <c r="AA511" i="2"/>
  <c r="Z512" i="2"/>
  <c r="Y512" i="2"/>
  <c r="AB512" i="2"/>
  <c r="AA512" i="2"/>
  <c r="K244" i="2"/>
  <c r="F482" i="2"/>
  <c r="F483" i="2"/>
  <c r="G482" i="2"/>
  <c r="G483" i="2"/>
  <c r="D484" i="2"/>
  <c r="T372" i="2"/>
  <c r="S373" i="2"/>
  <c r="T373" i="2"/>
  <c r="L244" i="2"/>
  <c r="M244" i="2"/>
  <c r="Y513" i="2"/>
  <c r="F484" i="2"/>
  <c r="E484" i="2"/>
  <c r="G484" i="2"/>
  <c r="U373" i="2"/>
  <c r="R374" i="2"/>
  <c r="N244" i="2"/>
  <c r="Z513" i="2"/>
  <c r="AB513" i="2"/>
  <c r="D485" i="2"/>
  <c r="E485" i="2"/>
  <c r="F485" i="2"/>
  <c r="S374" i="2"/>
  <c r="T374" i="2"/>
  <c r="AA513" i="2"/>
  <c r="K245" i="2"/>
  <c r="AA514" i="2"/>
  <c r="AB514" i="2"/>
  <c r="Z514" i="2"/>
  <c r="Y514" i="2"/>
  <c r="G485" i="2"/>
  <c r="U374" i="2"/>
  <c r="R375" i="2"/>
  <c r="S375" i="2"/>
  <c r="Y515" i="2"/>
  <c r="Z515" i="2"/>
  <c r="AB515" i="2"/>
  <c r="L245" i="2"/>
  <c r="N245" i="2"/>
  <c r="E486" i="2"/>
  <c r="D486" i="2"/>
  <c r="F486" i="2"/>
  <c r="G486" i="2"/>
  <c r="D487" i="2"/>
  <c r="U375" i="2"/>
  <c r="T375" i="2"/>
  <c r="M245" i="2"/>
  <c r="AA515" i="2"/>
  <c r="Z516" i="2"/>
  <c r="Y516" i="2"/>
  <c r="AB516" i="2"/>
  <c r="AA516" i="2"/>
  <c r="K246" i="2"/>
  <c r="E487" i="2"/>
  <c r="G487" i="2"/>
  <c r="E488" i="2"/>
  <c r="R376" i="2"/>
  <c r="S376" i="2"/>
  <c r="U376" i="2"/>
  <c r="L246" i="2"/>
  <c r="M246" i="2"/>
  <c r="Y517" i="2"/>
  <c r="Z517" i="2"/>
  <c r="AB517" i="2"/>
  <c r="F487" i="2"/>
  <c r="D488" i="2"/>
  <c r="R377" i="2"/>
  <c r="T376" i="2"/>
  <c r="AB518" i="2"/>
  <c r="AA518" i="2"/>
  <c r="Z518" i="2"/>
  <c r="Y518" i="2"/>
  <c r="N246" i="2"/>
  <c r="AA517" i="2"/>
  <c r="F488" i="2"/>
  <c r="G488" i="2"/>
  <c r="S377" i="2"/>
  <c r="T377" i="2"/>
  <c r="Y519" i="2"/>
  <c r="Z519" i="2"/>
  <c r="AB519" i="2"/>
  <c r="K247" i="2"/>
  <c r="D489" i="2"/>
  <c r="U377" i="2"/>
  <c r="R378" i="2"/>
  <c r="R379" i="2"/>
  <c r="Y520" i="2"/>
  <c r="AB520" i="2"/>
  <c r="AA520" i="2"/>
  <c r="Z520" i="2"/>
  <c r="AA519" i="2"/>
  <c r="L247" i="2"/>
  <c r="E489" i="2"/>
  <c r="G489" i="2"/>
  <c r="S378" i="2"/>
  <c r="S379" i="2"/>
  <c r="Y521" i="2"/>
  <c r="Y522" i="2"/>
  <c r="N247" i="2"/>
  <c r="M247" i="2"/>
  <c r="F490" i="2"/>
  <c r="D490" i="2"/>
  <c r="E490" i="2"/>
  <c r="G490" i="2"/>
  <c r="D491" i="2"/>
  <c r="E491" i="2"/>
  <c r="F489" i="2"/>
  <c r="T378" i="2"/>
  <c r="T379" i="2"/>
  <c r="U378" i="2"/>
  <c r="U379" i="2"/>
  <c r="R380" i="2"/>
  <c r="K248" i="2"/>
  <c r="Z521" i="2"/>
  <c r="F491" i="2"/>
  <c r="G491" i="2"/>
  <c r="E492" i="2"/>
  <c r="S380" i="2"/>
  <c r="T380" i="2"/>
  <c r="Z522" i="2"/>
  <c r="AB521" i="2"/>
  <c r="AB522" i="2"/>
  <c r="K249" i="2"/>
  <c r="L248" i="2"/>
  <c r="M248" i="2"/>
  <c r="M249" i="2"/>
  <c r="AA521" i="2"/>
  <c r="AA522" i="2"/>
  <c r="D492" i="2"/>
  <c r="G492" i="2"/>
  <c r="D493" i="2"/>
  <c r="F492" i="2"/>
  <c r="U380" i="2"/>
  <c r="R381" i="2"/>
  <c r="S381" i="2"/>
  <c r="AA523" i="2"/>
  <c r="Y523" i="2"/>
  <c r="AB523" i="2"/>
  <c r="Z523" i="2"/>
  <c r="L249" i="2"/>
  <c r="N248" i="2"/>
  <c r="N249" i="2"/>
  <c r="E493" i="2"/>
  <c r="G493" i="2"/>
  <c r="U381" i="2"/>
  <c r="T381" i="2"/>
  <c r="K250" i="2"/>
  <c r="Y524" i="2"/>
  <c r="Z524" i="2"/>
  <c r="AB524" i="2"/>
  <c r="F493" i="2"/>
  <c r="E494" i="2"/>
  <c r="F494" i="2"/>
  <c r="D494" i="2"/>
  <c r="G494" i="2"/>
  <c r="R382" i="2"/>
  <c r="AA524" i="2"/>
  <c r="Z525" i="2"/>
  <c r="Y525" i="2"/>
  <c r="AB525" i="2"/>
  <c r="AA525" i="2"/>
  <c r="L250" i="2"/>
  <c r="D495" i="2"/>
  <c r="D496" i="2"/>
  <c r="S382" i="2"/>
  <c r="T382" i="2"/>
  <c r="N250" i="2"/>
  <c r="Y526" i="2"/>
  <c r="M250" i="2"/>
  <c r="E495" i="2"/>
  <c r="E496" i="2"/>
  <c r="U382" i="2"/>
  <c r="R383" i="2"/>
  <c r="S383" i="2"/>
  <c r="U383" i="2"/>
  <c r="K251" i="2"/>
  <c r="Z526" i="2"/>
  <c r="AB526" i="2"/>
  <c r="F495" i="2"/>
  <c r="F496" i="2"/>
  <c r="G495" i="2"/>
  <c r="G496" i="2"/>
  <c r="D497" i="2"/>
  <c r="G497" i="2"/>
  <c r="T383" i="2"/>
  <c r="R384" i="2"/>
  <c r="Z527" i="2"/>
  <c r="AB527" i="2"/>
  <c r="AA527" i="2"/>
  <c r="Y527" i="2"/>
  <c r="L251" i="2"/>
  <c r="AA526" i="2"/>
  <c r="F497" i="2"/>
  <c r="E497" i="2"/>
  <c r="D498" i="2"/>
  <c r="E498" i="2"/>
  <c r="S384" i="2"/>
  <c r="T384" i="2"/>
  <c r="Y528" i="2"/>
  <c r="Z528" i="2"/>
  <c r="N251" i="2"/>
  <c r="M251" i="2"/>
  <c r="F498" i="2"/>
  <c r="G498" i="2"/>
  <c r="U384" i="2"/>
  <c r="R385" i="2"/>
  <c r="S385" i="2"/>
  <c r="U385" i="2"/>
  <c r="AB528" i="2"/>
  <c r="AA528" i="2"/>
  <c r="K252" i="2"/>
  <c r="E499" i="2"/>
  <c r="D499" i="2"/>
  <c r="G499" i="2"/>
  <c r="F499" i="2"/>
  <c r="R386" i="2"/>
  <c r="T385" i="2"/>
  <c r="Y529" i="2"/>
  <c r="AB529" i="2"/>
  <c r="AA529" i="2"/>
  <c r="Z529" i="2"/>
  <c r="L252" i="2"/>
  <c r="M252" i="2"/>
  <c r="D500" i="2"/>
  <c r="E500" i="2"/>
  <c r="F500" i="2"/>
  <c r="S386" i="2"/>
  <c r="U386" i="2"/>
  <c r="Y530" i="2"/>
  <c r="Z530" i="2"/>
  <c r="N252" i="2"/>
  <c r="G500" i="2"/>
  <c r="T386" i="2"/>
  <c r="R387" i="2"/>
  <c r="S387" i="2"/>
  <c r="U387" i="2"/>
  <c r="AB530" i="2"/>
  <c r="AA530" i="2"/>
  <c r="K253" i="2"/>
  <c r="D501" i="2"/>
  <c r="G501" i="2"/>
  <c r="E501" i="2"/>
  <c r="F501" i="2"/>
  <c r="R388" i="2"/>
  <c r="S388" i="2"/>
  <c r="T388" i="2"/>
  <c r="T387" i="2"/>
  <c r="AA531" i="2"/>
  <c r="Z531" i="2"/>
  <c r="Y531" i="2"/>
  <c r="AB531" i="2"/>
  <c r="L253" i="2"/>
  <c r="D502" i="2"/>
  <c r="E502" i="2"/>
  <c r="G502" i="2"/>
  <c r="U388" i="2"/>
  <c r="N253" i="2"/>
  <c r="Y532" i="2"/>
  <c r="Z532" i="2"/>
  <c r="AB532" i="2"/>
  <c r="M253" i="2"/>
  <c r="F502" i="2"/>
  <c r="D503" i="2"/>
  <c r="G503" i="2"/>
  <c r="E503" i="2"/>
  <c r="F503" i="2"/>
  <c r="R389" i="2"/>
  <c r="S389" i="2"/>
  <c r="U389" i="2"/>
  <c r="AA532" i="2"/>
  <c r="Z533" i="2"/>
  <c r="Y533" i="2"/>
  <c r="AA533" i="2"/>
  <c r="AB533" i="2"/>
  <c r="K254" i="2"/>
  <c r="D504" i="2"/>
  <c r="E504" i="2"/>
  <c r="R390" i="2"/>
  <c r="T389" i="2"/>
  <c r="L254" i="2"/>
  <c r="Y534" i="2"/>
  <c r="Y535" i="2"/>
  <c r="F504" i="2"/>
  <c r="G504" i="2"/>
  <c r="S390" i="2"/>
  <c r="U390" i="2"/>
  <c r="N254" i="2"/>
  <c r="Z534" i="2"/>
  <c r="M254" i="2"/>
  <c r="D505" i="2"/>
  <c r="G505" i="2"/>
  <c r="F505" i="2"/>
  <c r="E505" i="2"/>
  <c r="T390" i="2"/>
  <c r="R391" i="2"/>
  <c r="R392" i="2"/>
  <c r="K255" i="2"/>
  <c r="Z535" i="2"/>
  <c r="AB534" i="2"/>
  <c r="AB535" i="2"/>
  <c r="AA534" i="2"/>
  <c r="AA535" i="2"/>
  <c r="D506" i="2"/>
  <c r="S391" i="2"/>
  <c r="T391" i="2"/>
  <c r="T392" i="2"/>
  <c r="Z536" i="2"/>
  <c r="Y536" i="2"/>
  <c r="AB536" i="2"/>
  <c r="AA536" i="2"/>
  <c r="L255" i="2"/>
  <c r="M255" i="2"/>
  <c r="E506" i="2"/>
  <c r="F506" i="2"/>
  <c r="S392" i="2"/>
  <c r="U391" i="2"/>
  <c r="U392" i="2"/>
  <c r="Y537" i="2"/>
  <c r="Z537" i="2"/>
  <c r="AB537" i="2"/>
  <c r="N255" i="2"/>
  <c r="G506" i="2"/>
  <c r="R393" i="2"/>
  <c r="S393" i="2"/>
  <c r="Y538" i="2"/>
  <c r="AB538" i="2"/>
  <c r="AA538" i="2"/>
  <c r="Z538" i="2"/>
  <c r="AA537" i="2"/>
  <c r="K256" i="2"/>
  <c r="D507" i="2"/>
  <c r="G507" i="2"/>
  <c r="E507" i="2"/>
  <c r="F507" i="2"/>
  <c r="U393" i="2"/>
  <c r="T393" i="2"/>
  <c r="Y539" i="2"/>
  <c r="Z539" i="2"/>
  <c r="AB539" i="2"/>
  <c r="L256" i="2"/>
  <c r="M256" i="2"/>
  <c r="D508" i="2"/>
  <c r="D509" i="2"/>
  <c r="R394" i="2"/>
  <c r="S394" i="2"/>
  <c r="AA539" i="2"/>
  <c r="Z540" i="2"/>
  <c r="Y540" i="2"/>
  <c r="AB540" i="2"/>
  <c r="AA540" i="2"/>
  <c r="N256" i="2"/>
  <c r="E508" i="2"/>
  <c r="T394" i="2"/>
  <c r="U394" i="2"/>
  <c r="Y541" i="2"/>
  <c r="Z541" i="2"/>
  <c r="K257" i="2"/>
  <c r="E509" i="2"/>
  <c r="G508" i="2"/>
  <c r="G509" i="2"/>
  <c r="F508" i="2"/>
  <c r="F509" i="2"/>
  <c r="R395" i="2"/>
  <c r="AA541" i="2"/>
  <c r="AB541" i="2"/>
  <c r="AA542" i="2"/>
  <c r="L257" i="2"/>
  <c r="D510" i="2"/>
  <c r="G510" i="2"/>
  <c r="F510" i="2"/>
  <c r="E510" i="2"/>
  <c r="S395" i="2"/>
  <c r="U395" i="2"/>
  <c r="AB542" i="2"/>
  <c r="Y543" i="2"/>
  <c r="Z543" i="2"/>
  <c r="Z542" i="2"/>
  <c r="Y542" i="2"/>
  <c r="N257" i="2"/>
  <c r="M257" i="2"/>
  <c r="D511" i="2"/>
  <c r="E511" i="2"/>
  <c r="F511" i="2"/>
  <c r="R396" i="2"/>
  <c r="S396" i="2"/>
  <c r="U396" i="2"/>
  <c r="T395" i="2"/>
  <c r="AB543" i="2"/>
  <c r="AA543" i="2"/>
  <c r="K258" i="2"/>
  <c r="G511" i="2"/>
  <c r="T396" i="2"/>
  <c r="R397" i="2"/>
  <c r="S397" i="2"/>
  <c r="AA544" i="2"/>
  <c r="AB544" i="2"/>
  <c r="Z544" i="2"/>
  <c r="Y544" i="2"/>
  <c r="L258" i="2"/>
  <c r="N258" i="2"/>
  <c r="F512" i="2"/>
  <c r="D512" i="2"/>
  <c r="G512" i="2"/>
  <c r="E512" i="2"/>
  <c r="U397" i="2"/>
  <c r="T397" i="2"/>
  <c r="Y545" i="2"/>
  <c r="Z545" i="2"/>
  <c r="AB545" i="2"/>
  <c r="M258" i="2"/>
  <c r="K259" i="2"/>
  <c r="D513" i="2"/>
  <c r="E513" i="2"/>
  <c r="G513" i="2"/>
  <c r="R398" i="2"/>
  <c r="S398" i="2"/>
  <c r="U398" i="2"/>
  <c r="Y546" i="2"/>
  <c r="AB546" i="2"/>
  <c r="AA546" i="2"/>
  <c r="Z546" i="2"/>
  <c r="AA545" i="2"/>
  <c r="L259" i="2"/>
  <c r="M259" i="2"/>
  <c r="F513" i="2"/>
  <c r="E514" i="2"/>
  <c r="G514" i="2"/>
  <c r="F514" i="2"/>
  <c r="D514" i="2"/>
  <c r="R399" i="2"/>
  <c r="S399" i="2"/>
  <c r="T399" i="2"/>
  <c r="T398" i="2"/>
  <c r="N259" i="2"/>
  <c r="Y547" i="2"/>
  <c r="Y548" i="2"/>
  <c r="D515" i="2"/>
  <c r="E515" i="2"/>
  <c r="G515" i="2"/>
  <c r="U399" i="2"/>
  <c r="K260" i="2"/>
  <c r="Z547" i="2"/>
  <c r="F516" i="2"/>
  <c r="E516" i="2"/>
  <c r="D516" i="2"/>
  <c r="G516" i="2"/>
  <c r="F515" i="2"/>
  <c r="R400" i="2"/>
  <c r="S400" i="2"/>
  <c r="T400" i="2"/>
  <c r="Z548" i="2"/>
  <c r="AB547" i="2"/>
  <c r="AB548" i="2"/>
  <c r="AA547" i="2"/>
  <c r="AA548" i="2"/>
  <c r="L260" i="2"/>
  <c r="M260" i="2"/>
  <c r="D517" i="2"/>
  <c r="U400" i="2"/>
  <c r="AB549" i="2"/>
  <c r="AA549" i="2"/>
  <c r="Z549" i="2"/>
  <c r="Y549" i="2"/>
  <c r="N260" i="2"/>
  <c r="E517" i="2"/>
  <c r="F517" i="2"/>
  <c r="R401" i="2"/>
  <c r="Y550" i="2"/>
  <c r="Z550" i="2"/>
  <c r="AB550" i="2"/>
  <c r="K261" i="2"/>
  <c r="G517" i="2"/>
  <c r="S401" i="2"/>
  <c r="T401" i="2"/>
  <c r="AA550" i="2"/>
  <c r="Y551" i="2"/>
  <c r="AB551" i="2"/>
  <c r="AA551" i="2"/>
  <c r="Z551" i="2"/>
  <c r="K262" i="2"/>
  <c r="L261" i="2"/>
  <c r="M261" i="2"/>
  <c r="M262" i="2"/>
  <c r="D518" i="2"/>
  <c r="F518" i="2"/>
  <c r="E518" i="2"/>
  <c r="G518" i="2"/>
  <c r="U401" i="2"/>
  <c r="R402" i="2"/>
  <c r="Y552" i="2"/>
  <c r="Z552" i="2"/>
  <c r="L262" i="2"/>
  <c r="N261" i="2"/>
  <c r="N262" i="2"/>
  <c r="D519" i="2"/>
  <c r="E519" i="2"/>
  <c r="G519" i="2"/>
  <c r="S402" i="2"/>
  <c r="T402" i="2"/>
  <c r="AB552" i="2"/>
  <c r="AB553" i="2"/>
  <c r="AA552" i="2"/>
  <c r="K263" i="2"/>
  <c r="D520" i="2"/>
  <c r="G520" i="2"/>
  <c r="E520" i="2"/>
  <c r="F520" i="2"/>
  <c r="F519" i="2"/>
  <c r="U402" i="2"/>
  <c r="R403" i="2"/>
  <c r="Y553" i="2"/>
  <c r="AA553" i="2"/>
  <c r="Z553" i="2"/>
  <c r="L263" i="2"/>
  <c r="Y554" i="2"/>
  <c r="D521" i="2"/>
  <c r="D522" i="2"/>
  <c r="S403" i="2"/>
  <c r="T403" i="2"/>
  <c r="Z554" i="2"/>
  <c r="AB554" i="2"/>
  <c r="AB555" i="2"/>
  <c r="N263" i="2"/>
  <c r="M263" i="2"/>
  <c r="E521" i="2"/>
  <c r="F521" i="2"/>
  <c r="F522" i="2"/>
  <c r="U403" i="2"/>
  <c r="R404" i="2"/>
  <c r="R405" i="2"/>
  <c r="AA554" i="2"/>
  <c r="AA555" i="2"/>
  <c r="Z555" i="2"/>
  <c r="Y555" i="2"/>
  <c r="Y556" i="2"/>
  <c r="K264" i="2"/>
  <c r="E522" i="2"/>
  <c r="G521" i="2"/>
  <c r="G522" i="2"/>
  <c r="S404" i="2"/>
  <c r="U404" i="2"/>
  <c r="U405" i="2"/>
  <c r="R406" i="2"/>
  <c r="Z556" i="2"/>
  <c r="AB556" i="2"/>
  <c r="Z557" i="2"/>
  <c r="L264" i="2"/>
  <c r="M264" i="2"/>
  <c r="D523" i="2"/>
  <c r="E523" i="2"/>
  <c r="F523" i="2"/>
  <c r="G523" i="2"/>
  <c r="T404" i="2"/>
  <c r="T405" i="2"/>
  <c r="S405" i="2"/>
  <c r="S406" i="2"/>
  <c r="T406" i="2"/>
  <c r="AA556" i="2"/>
  <c r="Y557" i="2"/>
  <c r="AB557" i="2"/>
  <c r="Y558" i="2"/>
  <c r="Z558" i="2"/>
  <c r="AA557" i="2"/>
  <c r="N264" i="2"/>
  <c r="D524" i="2"/>
  <c r="E524" i="2"/>
  <c r="G524" i="2"/>
  <c r="U406" i="2"/>
  <c r="R407" i="2"/>
  <c r="S407" i="2"/>
  <c r="U407" i="2"/>
  <c r="AB558" i="2"/>
  <c r="AA558" i="2"/>
  <c r="K265" i="2"/>
  <c r="F524" i="2"/>
  <c r="D525" i="2"/>
  <c r="E525" i="2"/>
  <c r="F525" i="2"/>
  <c r="G525" i="2"/>
  <c r="T407" i="2"/>
  <c r="R408" i="2"/>
  <c r="S408" i="2"/>
  <c r="Y559" i="2"/>
  <c r="AB559" i="2"/>
  <c r="AA559" i="2"/>
  <c r="Z559" i="2"/>
  <c r="L265" i="2"/>
  <c r="M265" i="2"/>
  <c r="D526" i="2"/>
  <c r="E526" i="2"/>
  <c r="G526" i="2"/>
  <c r="U408" i="2"/>
  <c r="T408" i="2"/>
  <c r="Y560" i="2"/>
  <c r="Y561" i="2"/>
  <c r="N265" i="2"/>
  <c r="E527" i="2"/>
  <c r="F527" i="2"/>
  <c r="D527" i="2"/>
  <c r="G527" i="2"/>
  <c r="F526" i="2"/>
  <c r="R409" i="2"/>
  <c r="S409" i="2"/>
  <c r="U409" i="2"/>
  <c r="K266" i="2"/>
  <c r="Z560" i="2"/>
  <c r="AA560" i="2"/>
  <c r="AA561" i="2"/>
  <c r="D528" i="2"/>
  <c r="E528" i="2"/>
  <c r="G528" i="2"/>
  <c r="T409" i="2"/>
  <c r="R410" i="2"/>
  <c r="S410" i="2"/>
  <c r="Z561" i="2"/>
  <c r="AB560" i="2"/>
  <c r="AB561" i="2"/>
  <c r="L266" i="2"/>
  <c r="E529" i="2"/>
  <c r="D529" i="2"/>
  <c r="F529" i="2"/>
  <c r="G529" i="2"/>
  <c r="D530" i="2"/>
  <c r="E530" i="2"/>
  <c r="G530" i="2"/>
  <c r="F528" i="2"/>
  <c r="U410" i="2"/>
  <c r="T410" i="2"/>
  <c r="N266" i="2"/>
  <c r="M266" i="2"/>
  <c r="F530" i="2"/>
  <c r="E531" i="2"/>
  <c r="D531" i="2"/>
  <c r="G531" i="2"/>
  <c r="F531" i="2"/>
  <c r="R411" i="2"/>
  <c r="S411" i="2"/>
  <c r="U411" i="2"/>
  <c r="K267" i="2"/>
  <c r="D532" i="2"/>
  <c r="E532" i="2"/>
  <c r="G532" i="2"/>
  <c r="T411" i="2"/>
  <c r="R412" i="2"/>
  <c r="S412" i="2"/>
  <c r="L267" i="2"/>
  <c r="F532" i="2"/>
  <c r="E533" i="2"/>
  <c r="D533" i="2"/>
  <c r="G533" i="2"/>
  <c r="F533" i="2"/>
  <c r="U412" i="2"/>
  <c r="T412" i="2"/>
  <c r="N267" i="2"/>
  <c r="M267" i="2"/>
  <c r="D534" i="2"/>
  <c r="D535" i="2"/>
  <c r="R413" i="2"/>
  <c r="S413" i="2"/>
  <c r="U413" i="2"/>
  <c r="K268" i="2"/>
  <c r="E534" i="2"/>
  <c r="E535" i="2"/>
  <c r="T413" i="2"/>
  <c r="R414" i="2"/>
  <c r="S414" i="2"/>
  <c r="T414" i="2"/>
  <c r="L268" i="2"/>
  <c r="F534" i="2"/>
  <c r="F535" i="2"/>
  <c r="G534" i="2"/>
  <c r="G535" i="2"/>
  <c r="D536" i="2"/>
  <c r="F536" i="2"/>
  <c r="U414" i="2"/>
  <c r="N268" i="2"/>
  <c r="M268" i="2"/>
  <c r="E536" i="2"/>
  <c r="G536" i="2"/>
  <c r="R415" i="2"/>
  <c r="S415" i="2"/>
  <c r="U415" i="2"/>
  <c r="K269" i="2"/>
  <c r="D537" i="2"/>
  <c r="R416" i="2"/>
  <c r="T415" i="2"/>
  <c r="L269" i="2"/>
  <c r="E537" i="2"/>
  <c r="F537" i="2"/>
  <c r="S416" i="2"/>
  <c r="U416" i="2"/>
  <c r="N269" i="2"/>
  <c r="M269" i="2"/>
  <c r="G537" i="2"/>
  <c r="T416" i="2"/>
  <c r="R417" i="2"/>
  <c r="R418" i="2"/>
  <c r="K270" i="2"/>
  <c r="E538" i="2"/>
  <c r="F538" i="2"/>
  <c r="D538" i="2"/>
  <c r="G538" i="2"/>
  <c r="S417" i="2"/>
  <c r="S418" i="2"/>
  <c r="L270" i="2"/>
  <c r="M270" i="2"/>
  <c r="D539" i="2"/>
  <c r="E539" i="2"/>
  <c r="G539" i="2"/>
  <c r="T417" i="2"/>
  <c r="T418" i="2"/>
  <c r="U417" i="2"/>
  <c r="U418" i="2"/>
  <c r="R419" i="2"/>
  <c r="N270" i="2"/>
  <c r="F539" i="2"/>
  <c r="E540" i="2"/>
  <c r="D540" i="2"/>
  <c r="G540" i="2"/>
  <c r="F540" i="2"/>
  <c r="S419" i="2"/>
  <c r="T419" i="2"/>
  <c r="K271" i="2"/>
  <c r="D541" i="2"/>
  <c r="E541" i="2"/>
  <c r="G541" i="2"/>
  <c r="U419" i="2"/>
  <c r="R420" i="2"/>
  <c r="S420" i="2"/>
  <c r="L271" i="2"/>
  <c r="N271" i="2"/>
  <c r="F541" i="2"/>
  <c r="E542" i="2"/>
  <c r="F542" i="2"/>
  <c r="D542" i="2"/>
  <c r="G542" i="2"/>
  <c r="T420" i="2"/>
  <c r="U420" i="2"/>
  <c r="M271" i="2"/>
  <c r="K272" i="2"/>
  <c r="D543" i="2"/>
  <c r="R421" i="2"/>
  <c r="S421" i="2"/>
  <c r="L272" i="2"/>
  <c r="E543" i="2"/>
  <c r="F543" i="2"/>
  <c r="T421" i="2"/>
  <c r="U421" i="2"/>
  <c r="N272" i="2"/>
  <c r="M272" i="2"/>
  <c r="G543" i="2"/>
  <c r="R422" i="2"/>
  <c r="S422" i="2"/>
  <c r="U422" i="2"/>
  <c r="K273" i="2"/>
  <c r="E544" i="2"/>
  <c r="D544" i="2"/>
  <c r="G544" i="2"/>
  <c r="F544" i="2"/>
  <c r="T422" i="2"/>
  <c r="R423" i="2"/>
  <c r="S423" i="2"/>
  <c r="L273" i="2"/>
  <c r="M273" i="2"/>
  <c r="D545" i="2"/>
  <c r="E545" i="2"/>
  <c r="G545" i="2"/>
  <c r="T423" i="2"/>
  <c r="U423" i="2"/>
  <c r="N273" i="2"/>
  <c r="F545" i="2"/>
  <c r="D546" i="2"/>
  <c r="G546" i="2"/>
  <c r="E546" i="2"/>
  <c r="F546" i="2"/>
  <c r="R424" i="2"/>
  <c r="S424" i="2"/>
  <c r="U424" i="2"/>
  <c r="K274" i="2"/>
  <c r="D547" i="2"/>
  <c r="D548" i="2"/>
  <c r="T424" i="2"/>
  <c r="R425" i="2"/>
  <c r="S425" i="2"/>
  <c r="T425" i="2"/>
  <c r="K275" i="2"/>
  <c r="L274" i="2"/>
  <c r="M274" i="2"/>
  <c r="M275" i="2"/>
  <c r="E547" i="2"/>
  <c r="U425" i="2"/>
  <c r="L275" i="2"/>
  <c r="N274" i="2"/>
  <c r="N275" i="2"/>
  <c r="E548" i="2"/>
  <c r="G547" i="2"/>
  <c r="G548" i="2"/>
  <c r="F547" i="2"/>
  <c r="F548" i="2"/>
  <c r="R426" i="2"/>
  <c r="S426" i="2"/>
  <c r="U426" i="2"/>
  <c r="K276" i="2"/>
  <c r="F549" i="2"/>
  <c r="E549" i="2"/>
  <c r="D549" i="2"/>
  <c r="G549" i="2"/>
  <c r="R427" i="2"/>
  <c r="S427" i="2"/>
  <c r="T427" i="2"/>
  <c r="T426" i="2"/>
  <c r="L276" i="2"/>
  <c r="D550" i="2"/>
  <c r="U427" i="2"/>
  <c r="N276" i="2"/>
  <c r="M276" i="2"/>
  <c r="E550" i="2"/>
  <c r="F550" i="2"/>
  <c r="R428" i="2"/>
  <c r="S428" i="2"/>
  <c r="U428" i="2"/>
  <c r="K277" i="2"/>
  <c r="G550" i="2"/>
  <c r="R429" i="2"/>
  <c r="S429" i="2"/>
  <c r="T429" i="2"/>
  <c r="T428" i="2"/>
  <c r="L277" i="2"/>
  <c r="M277" i="2"/>
  <c r="D551" i="2"/>
  <c r="G551" i="2"/>
  <c r="E551" i="2"/>
  <c r="F551" i="2"/>
  <c r="U429" i="2"/>
  <c r="N277" i="2"/>
  <c r="D552" i="2"/>
  <c r="E552" i="2"/>
  <c r="G552" i="2"/>
  <c r="R430" i="2"/>
  <c r="R431" i="2"/>
  <c r="K278" i="2"/>
  <c r="E553" i="2"/>
  <c r="F553" i="2"/>
  <c r="D553" i="2"/>
  <c r="G553" i="2"/>
  <c r="F552" i="2"/>
  <c r="S430" i="2"/>
  <c r="L278" i="2"/>
  <c r="D554" i="2"/>
  <c r="T430" i="2"/>
  <c r="T431" i="2"/>
  <c r="S431" i="2"/>
  <c r="U430" i="2"/>
  <c r="U431" i="2"/>
  <c r="N278" i="2"/>
  <c r="M278" i="2"/>
  <c r="E554" i="2"/>
  <c r="F554" i="2"/>
  <c r="R432" i="2"/>
  <c r="K279" i="2"/>
  <c r="G554" i="2"/>
  <c r="S432" i="2"/>
  <c r="T432" i="2"/>
  <c r="L279" i="2"/>
  <c r="E555" i="2"/>
  <c r="F555" i="2"/>
  <c r="D555" i="2"/>
  <c r="U432" i="2"/>
  <c r="R433" i="2"/>
  <c r="S433" i="2"/>
  <c r="U433" i="2"/>
  <c r="N279" i="2"/>
  <c r="M279" i="2"/>
  <c r="G555" i="2"/>
  <c r="S434" i="2"/>
  <c r="R434" i="2"/>
  <c r="T433" i="2"/>
  <c r="K280" i="2"/>
  <c r="D556" i="2"/>
  <c r="U434" i="2"/>
  <c r="R435" i="2"/>
  <c r="S435" i="2"/>
  <c r="U435" i="2"/>
  <c r="T434" i="2"/>
  <c r="L280" i="2"/>
  <c r="M280" i="2"/>
  <c r="E556" i="2"/>
  <c r="G556" i="2"/>
  <c r="S436" i="2"/>
  <c r="R436" i="2"/>
  <c r="T435" i="2"/>
  <c r="N280" i="2"/>
  <c r="F556" i="2"/>
  <c r="E557" i="2"/>
  <c r="D557" i="2"/>
  <c r="F557" i="2"/>
  <c r="G557" i="2"/>
  <c r="T436" i="2"/>
  <c r="U436" i="2"/>
  <c r="K281" i="2"/>
  <c r="D558" i="2"/>
  <c r="R437" i="2"/>
  <c r="S437" i="2"/>
  <c r="U437" i="2"/>
  <c r="L281" i="2"/>
  <c r="E558" i="2"/>
  <c r="G558" i="2"/>
  <c r="T437" i="2"/>
  <c r="R438" i="2"/>
  <c r="S438" i="2"/>
  <c r="N281" i="2"/>
  <c r="M281" i="2"/>
  <c r="F558" i="2"/>
  <c r="F559" i="2"/>
  <c r="D559" i="2"/>
  <c r="E559" i="2"/>
  <c r="G559" i="2"/>
  <c r="T438" i="2"/>
  <c r="U438" i="2"/>
  <c r="R439" i="2"/>
  <c r="S439" i="2"/>
  <c r="U439" i="2"/>
  <c r="K282" i="2"/>
  <c r="D560" i="2"/>
  <c r="D561" i="2"/>
  <c r="R440" i="2"/>
  <c r="S440" i="2"/>
  <c r="T439" i="2"/>
  <c r="L282" i="2"/>
  <c r="E560" i="2"/>
  <c r="F560" i="2"/>
  <c r="F561" i="2"/>
  <c r="U440" i="2"/>
  <c r="R441" i="2"/>
  <c r="S441" i="2"/>
  <c r="U441" i="2"/>
  <c r="T440" i="2"/>
  <c r="N282" i="2"/>
  <c r="M282" i="2"/>
  <c r="E561" i="2"/>
  <c r="G560" i="2"/>
  <c r="G561" i="2"/>
  <c r="R442" i="2"/>
  <c r="S442" i="2"/>
  <c r="T441" i="2"/>
  <c r="K283" i="2"/>
  <c r="U442" i="2"/>
  <c r="T442" i="2"/>
  <c r="L283" i="2"/>
  <c r="M283" i="2"/>
  <c r="R443" i="2"/>
  <c r="R444" i="2"/>
  <c r="N283" i="2"/>
  <c r="S443" i="2"/>
  <c r="S444" i="2"/>
  <c r="K284" i="2"/>
  <c r="T443" i="2"/>
  <c r="T444" i="2"/>
  <c r="U443" i="2"/>
  <c r="U444" i="2"/>
  <c r="R445" i="2"/>
  <c r="L284" i="2"/>
  <c r="N284" i="2"/>
  <c r="S445" i="2"/>
  <c r="U445" i="2"/>
  <c r="R446" i="2"/>
  <c r="S446" i="2"/>
  <c r="T445" i="2"/>
  <c r="K285" i="2"/>
  <c r="M284" i="2"/>
  <c r="T446" i="2"/>
  <c r="U446" i="2"/>
  <c r="L285" i="2"/>
  <c r="M285" i="2"/>
  <c r="R447" i="2"/>
  <c r="S447" i="2"/>
  <c r="N285" i="2"/>
  <c r="U447" i="2"/>
  <c r="R448" i="2"/>
  <c r="S448" i="2"/>
  <c r="U448" i="2"/>
  <c r="T447" i="2"/>
  <c r="K286" i="2"/>
  <c r="R449" i="2"/>
  <c r="S449" i="2"/>
  <c r="T448" i="2"/>
  <c r="L286" i="2"/>
  <c r="U449" i="2"/>
  <c r="R450" i="2"/>
  <c r="S450" i="2"/>
  <c r="T450" i="2"/>
  <c r="T449" i="2"/>
  <c r="N286" i="2"/>
  <c r="M286" i="2"/>
  <c r="U450" i="2"/>
  <c r="K287" i="2"/>
  <c r="R451" i="2"/>
  <c r="S451" i="2"/>
  <c r="K288" i="2"/>
  <c r="L287" i="2"/>
  <c r="U451" i="2"/>
  <c r="R452" i="2"/>
  <c r="T451" i="2"/>
  <c r="L288" i="2"/>
  <c r="N287" i="2"/>
  <c r="N288" i="2"/>
  <c r="M287" i="2"/>
  <c r="M288" i="2"/>
  <c r="S452" i="2"/>
  <c r="U452" i="2"/>
  <c r="S453" i="2"/>
  <c r="K289" i="2"/>
  <c r="T452" i="2"/>
  <c r="R453" i="2"/>
  <c r="U453" i="2"/>
  <c r="R454" i="2"/>
  <c r="S454" i="2"/>
  <c r="U454" i="2"/>
  <c r="L289" i="2"/>
  <c r="M289" i="2"/>
  <c r="T453" i="2"/>
  <c r="R455" i="2"/>
  <c r="S455" i="2"/>
  <c r="T454" i="2"/>
  <c r="N289" i="2"/>
  <c r="U455" i="2"/>
  <c r="R456" i="2"/>
  <c r="R457" i="2"/>
  <c r="T455" i="2"/>
  <c r="K290" i="2"/>
  <c r="S456" i="2"/>
  <c r="S457" i="2"/>
  <c r="L290" i="2"/>
  <c r="M290" i="2"/>
  <c r="T456" i="2"/>
  <c r="T457" i="2"/>
  <c r="U456" i="2"/>
  <c r="U457" i="2"/>
  <c r="R458" i="2"/>
  <c r="N290" i="2"/>
  <c r="S458" i="2"/>
  <c r="T458" i="2"/>
  <c r="K291" i="2"/>
  <c r="U458" i="2"/>
  <c r="L291" i="2"/>
  <c r="M291" i="2"/>
  <c r="R459" i="2"/>
  <c r="S459" i="2"/>
  <c r="U459" i="2"/>
  <c r="S460" i="2"/>
  <c r="N291" i="2"/>
  <c r="T459" i="2"/>
  <c r="R460" i="2"/>
  <c r="U460" i="2"/>
  <c r="R461" i="2"/>
  <c r="S461" i="2"/>
  <c r="U461" i="2"/>
  <c r="R462" i="2"/>
  <c r="K292" i="2"/>
  <c r="T460" i="2"/>
  <c r="T461" i="2"/>
  <c r="S462" i="2"/>
  <c r="U462" i="2"/>
  <c r="L292" i="2"/>
  <c r="M292" i="2"/>
  <c r="T462" i="2"/>
  <c r="R463" i="2"/>
  <c r="S463" i="2"/>
  <c r="U463" i="2"/>
  <c r="N292" i="2"/>
  <c r="S464" i="2"/>
  <c r="R464" i="2"/>
  <c r="T463" i="2"/>
  <c r="K293" i="2"/>
  <c r="T464" i="2"/>
  <c r="U464" i="2"/>
  <c r="L293" i="2"/>
  <c r="M293" i="2"/>
  <c r="R465" i="2"/>
  <c r="S465" i="2"/>
  <c r="T465" i="2"/>
  <c r="N293" i="2"/>
  <c r="U465" i="2"/>
  <c r="K294" i="2"/>
  <c r="S466" i="2"/>
  <c r="R466" i="2"/>
  <c r="L294" i="2"/>
  <c r="T466" i="2"/>
  <c r="U466" i="2"/>
  <c r="N294" i="2"/>
  <c r="M294" i="2"/>
  <c r="R467" i="2"/>
  <c r="S467" i="2"/>
  <c r="U467" i="2"/>
  <c r="K295" i="2"/>
  <c r="R468" i="2"/>
  <c r="S468" i="2"/>
  <c r="T467" i="2"/>
  <c r="L295" i="2"/>
  <c r="U468" i="2"/>
  <c r="T468" i="2"/>
  <c r="N295" i="2"/>
  <c r="M295" i="2"/>
  <c r="R469" i="2"/>
  <c r="R470" i="2"/>
  <c r="K296" i="2"/>
  <c r="S469" i="2"/>
  <c r="S470" i="2"/>
  <c r="L296" i="2"/>
  <c r="M296" i="2"/>
  <c r="U469" i="2"/>
  <c r="U470" i="2"/>
  <c r="S471" i="2"/>
  <c r="T469" i="2"/>
  <c r="T470" i="2"/>
  <c r="N296" i="2"/>
  <c r="R471" i="2"/>
  <c r="U471" i="2"/>
  <c r="R472" i="2"/>
  <c r="S472" i="2"/>
  <c r="T471" i="2"/>
  <c r="K297" i="2"/>
  <c r="U472" i="2"/>
  <c r="R473" i="2"/>
  <c r="T472" i="2"/>
  <c r="L297" i="2"/>
  <c r="N297" i="2"/>
  <c r="S473" i="2"/>
  <c r="T473" i="2"/>
  <c r="U473" i="2"/>
  <c r="K298" i="2"/>
  <c r="M297" i="2"/>
  <c r="R474" i="2"/>
  <c r="S474" i="2"/>
  <c r="L298" i="2"/>
  <c r="M298" i="2"/>
  <c r="U474" i="2"/>
  <c r="S475" i="2"/>
  <c r="T474" i="2"/>
  <c r="N298" i="2"/>
  <c r="R475" i="2"/>
  <c r="U475" i="2"/>
  <c r="R476" i="2"/>
  <c r="S476" i="2"/>
  <c r="U476" i="2"/>
  <c r="K299" i="2"/>
  <c r="T475" i="2"/>
  <c r="S477" i="2"/>
  <c r="R477" i="2"/>
  <c r="T476" i="2"/>
  <c r="L299" i="2"/>
  <c r="M299" i="2"/>
  <c r="T477" i="2"/>
  <c r="U477" i="2"/>
  <c r="R478" i="2"/>
  <c r="S478" i="2"/>
  <c r="U478" i="2"/>
  <c r="N299" i="2"/>
  <c r="S479" i="2"/>
  <c r="R479" i="2"/>
  <c r="T478" i="2"/>
  <c r="K300" i="2"/>
  <c r="T479" i="2"/>
  <c r="U479" i="2"/>
  <c r="K301" i="2"/>
  <c r="L300" i="2"/>
  <c r="M300" i="2"/>
  <c r="M301" i="2"/>
  <c r="R480" i="2"/>
  <c r="S480" i="2"/>
  <c r="U480" i="2"/>
  <c r="L301" i="2"/>
  <c r="N300" i="2"/>
  <c r="N301" i="2"/>
  <c r="S481" i="2"/>
  <c r="R481" i="2"/>
  <c r="T480" i="2"/>
  <c r="K302" i="2"/>
  <c r="T481" i="2"/>
  <c r="U481" i="2"/>
  <c r="L302" i="2"/>
  <c r="M302" i="2"/>
  <c r="R482" i="2"/>
  <c r="R483" i="2"/>
  <c r="N302" i="2"/>
  <c r="S482" i="2"/>
  <c r="S483" i="2"/>
  <c r="K303" i="2"/>
  <c r="U482" i="2"/>
  <c r="U483" i="2"/>
  <c r="S484" i="2"/>
  <c r="T482" i="2"/>
  <c r="T483" i="2"/>
  <c r="L303" i="2"/>
  <c r="M303" i="2"/>
  <c r="R484" i="2"/>
  <c r="U484" i="2"/>
  <c r="R485" i="2"/>
  <c r="T484" i="2"/>
  <c r="N303" i="2"/>
  <c r="S485" i="2"/>
  <c r="U485" i="2"/>
  <c r="S486" i="2"/>
  <c r="K304" i="2"/>
  <c r="T485" i="2"/>
  <c r="R486" i="2"/>
  <c r="T486" i="2"/>
  <c r="U486" i="2"/>
  <c r="R487" i="2"/>
  <c r="L304" i="2"/>
  <c r="M304" i="2"/>
  <c r="S487" i="2"/>
  <c r="U487" i="2"/>
  <c r="R488" i="2"/>
  <c r="N304" i="2"/>
  <c r="T487" i="2"/>
  <c r="S488" i="2"/>
  <c r="U488" i="2"/>
  <c r="K305" i="2"/>
  <c r="T488" i="2"/>
  <c r="R489" i="2"/>
  <c r="S489" i="2"/>
  <c r="U489" i="2"/>
  <c r="R490" i="2"/>
  <c r="L305" i="2"/>
  <c r="M305" i="2"/>
  <c r="T489" i="2"/>
  <c r="S490" i="2"/>
  <c r="T490" i="2"/>
  <c r="N305" i="2"/>
  <c r="U490" i="2"/>
  <c r="R491" i="2"/>
  <c r="S491" i="2"/>
  <c r="U491" i="2"/>
  <c r="S492" i="2"/>
  <c r="K306" i="2"/>
  <c r="T491" i="2"/>
  <c r="R492" i="2"/>
  <c r="T492" i="2"/>
  <c r="L306" i="2"/>
  <c r="M306" i="2"/>
  <c r="U492" i="2"/>
  <c r="R493" i="2"/>
  <c r="S493" i="2"/>
  <c r="U493" i="2"/>
  <c r="S494" i="2"/>
  <c r="N306" i="2"/>
  <c r="R494" i="2"/>
  <c r="U494" i="2"/>
  <c r="T493" i="2"/>
  <c r="K307" i="2"/>
  <c r="T494" i="2"/>
  <c r="R495" i="2"/>
  <c r="R496" i="2"/>
  <c r="L307" i="2"/>
  <c r="S495" i="2"/>
  <c r="S496" i="2"/>
  <c r="N307" i="2"/>
  <c r="M307" i="2"/>
  <c r="U495" i="2"/>
  <c r="U496" i="2"/>
  <c r="S497" i="2"/>
  <c r="T495" i="2"/>
  <c r="T496" i="2"/>
  <c r="K308" i="2"/>
  <c r="R497" i="2"/>
  <c r="U497" i="2"/>
  <c r="R498" i="2"/>
  <c r="S498" i="2"/>
  <c r="U498" i="2"/>
  <c r="S499" i="2"/>
  <c r="T497" i="2"/>
  <c r="L308" i="2"/>
  <c r="T498" i="2"/>
  <c r="R499" i="2"/>
  <c r="U499" i="2"/>
  <c r="T499" i="2"/>
  <c r="N308" i="2"/>
  <c r="M308" i="2"/>
  <c r="R500" i="2"/>
  <c r="S500" i="2"/>
  <c r="U500" i="2"/>
  <c r="S501" i="2"/>
  <c r="K309" i="2"/>
  <c r="T500" i="2"/>
  <c r="R501" i="2"/>
  <c r="U501" i="2"/>
  <c r="L309" i="2"/>
  <c r="M309" i="2"/>
  <c r="T501" i="2"/>
  <c r="R502" i="2"/>
  <c r="S502" i="2"/>
  <c r="U502" i="2"/>
  <c r="R503" i="2"/>
  <c r="N309" i="2"/>
  <c r="T502" i="2"/>
  <c r="S503" i="2"/>
  <c r="U503" i="2"/>
  <c r="K310" i="2"/>
  <c r="T503" i="2"/>
  <c r="R504" i="2"/>
  <c r="S504" i="2"/>
  <c r="U504" i="2"/>
  <c r="L310" i="2"/>
  <c r="N310" i="2"/>
  <c r="R505" i="2"/>
  <c r="S505" i="2"/>
  <c r="T504" i="2"/>
  <c r="K311" i="2"/>
  <c r="M310" i="2"/>
  <c r="U505" i="2"/>
  <c r="R506" i="2"/>
  <c r="S506" i="2"/>
  <c r="U506" i="2"/>
  <c r="T505" i="2"/>
  <c r="L311" i="2"/>
  <c r="M311" i="2"/>
  <c r="S507" i="2"/>
  <c r="R507" i="2"/>
  <c r="T506" i="2"/>
  <c r="N311" i="2"/>
  <c r="U507" i="2"/>
  <c r="T507" i="2"/>
  <c r="K312" i="2"/>
  <c r="R508" i="2"/>
  <c r="R509" i="2"/>
  <c r="L312" i="2"/>
  <c r="S508" i="2"/>
  <c r="S509" i="2"/>
  <c r="N312" i="2"/>
  <c r="M312" i="2"/>
  <c r="U508" i="2"/>
  <c r="U509" i="2"/>
  <c r="R510" i="2"/>
  <c r="T508" i="2"/>
  <c r="T509" i="2"/>
  <c r="K313" i="2"/>
  <c r="S510" i="2"/>
  <c r="T510" i="2"/>
  <c r="U510" i="2"/>
  <c r="R511" i="2"/>
  <c r="S511" i="2"/>
  <c r="U511" i="2"/>
  <c r="K314" i="2"/>
  <c r="L313" i="2"/>
  <c r="R512" i="2"/>
  <c r="S512" i="2"/>
  <c r="T511" i="2"/>
  <c r="L314" i="2"/>
  <c r="N313" i="2"/>
  <c r="N314" i="2"/>
  <c r="M313" i="2"/>
  <c r="M314" i="2"/>
  <c r="U512" i="2"/>
  <c r="T512" i="2"/>
  <c r="K315" i="2"/>
  <c r="R513" i="2"/>
  <c r="S513" i="2"/>
  <c r="L315" i="2"/>
  <c r="T513" i="2"/>
  <c r="U513" i="2"/>
  <c r="S514" i="2"/>
  <c r="N315" i="2"/>
  <c r="M315" i="2"/>
  <c r="R514" i="2"/>
  <c r="U514" i="2"/>
  <c r="R515" i="2"/>
  <c r="S515" i="2"/>
  <c r="U515" i="2"/>
  <c r="S516" i="2"/>
  <c r="K316" i="2"/>
  <c r="T514" i="2"/>
  <c r="T515" i="2"/>
  <c r="R516" i="2"/>
  <c r="U516" i="2"/>
  <c r="R517" i="2"/>
  <c r="S517" i="2"/>
  <c r="U517" i="2"/>
  <c r="L316" i="2"/>
  <c r="T516" i="2"/>
  <c r="S518" i="2"/>
  <c r="R518" i="2"/>
  <c r="T517" i="2"/>
  <c r="N316" i="2"/>
  <c r="M316" i="2"/>
  <c r="T518" i="2"/>
  <c r="U518" i="2"/>
  <c r="K317" i="2"/>
  <c r="R519" i="2"/>
  <c r="S519" i="2"/>
  <c r="U519" i="2"/>
  <c r="L317" i="2"/>
  <c r="T519" i="2"/>
  <c r="R520" i="2"/>
  <c r="S520" i="2"/>
  <c r="N317" i="2"/>
  <c r="M317" i="2"/>
  <c r="U520" i="2"/>
  <c r="T520" i="2"/>
  <c r="K318" i="2"/>
  <c r="R521" i="2"/>
  <c r="R522" i="2"/>
  <c r="L318" i="2"/>
  <c r="M318" i="2"/>
  <c r="S521" i="2"/>
  <c r="S522" i="2"/>
  <c r="N318" i="2"/>
  <c r="T521" i="2"/>
  <c r="T522" i="2"/>
  <c r="U521" i="2"/>
  <c r="U522" i="2"/>
  <c r="R523" i="2"/>
  <c r="K319" i="2"/>
  <c r="S523" i="2"/>
  <c r="T523" i="2"/>
  <c r="U523" i="2"/>
  <c r="R524" i="2"/>
  <c r="S524" i="2"/>
  <c r="L319" i="2"/>
  <c r="U524" i="2"/>
  <c r="S525" i="2"/>
  <c r="T524" i="2"/>
  <c r="N319" i="2"/>
  <c r="M319" i="2"/>
  <c r="R525" i="2"/>
  <c r="T525" i="2"/>
  <c r="K320" i="2"/>
  <c r="U525" i="2"/>
  <c r="R526" i="2"/>
  <c r="S526" i="2"/>
  <c r="L320" i="2"/>
  <c r="U526" i="2"/>
  <c r="S527" i="2"/>
  <c r="T526" i="2"/>
  <c r="N320" i="2"/>
  <c r="M320" i="2"/>
  <c r="R527" i="2"/>
  <c r="U527" i="2"/>
  <c r="K321" i="2"/>
  <c r="T527" i="2"/>
  <c r="R528" i="2"/>
  <c r="S528" i="2"/>
  <c r="U528" i="2"/>
  <c r="S529" i="2"/>
  <c r="L321" i="2"/>
  <c r="T528" i="2"/>
  <c r="R529" i="2"/>
  <c r="U529" i="2"/>
  <c r="N321" i="2"/>
  <c r="M321" i="2"/>
  <c r="T529" i="2"/>
  <c r="R530" i="2"/>
  <c r="S530" i="2"/>
  <c r="U530" i="2"/>
  <c r="K322" i="2"/>
  <c r="R531" i="2"/>
  <c r="S531" i="2"/>
  <c r="T530" i="2"/>
  <c r="L322" i="2"/>
  <c r="M322" i="2"/>
  <c r="U531" i="2"/>
  <c r="R532" i="2"/>
  <c r="S532" i="2"/>
  <c r="U532" i="2"/>
  <c r="T531" i="2"/>
  <c r="N322" i="2"/>
  <c r="S533" i="2"/>
  <c r="R533" i="2"/>
  <c r="T532" i="2"/>
  <c r="K323" i="2"/>
  <c r="U533" i="2"/>
  <c r="T533" i="2"/>
  <c r="L323" i="2"/>
  <c r="N323" i="2"/>
  <c r="R534" i="2"/>
  <c r="R535" i="2"/>
  <c r="K324" i="2"/>
  <c r="M323" i="2"/>
  <c r="S534" i="2"/>
  <c r="S535" i="2"/>
  <c r="L324" i="2"/>
  <c r="T534" i="2"/>
  <c r="T535" i="2"/>
  <c r="U534" i="2"/>
  <c r="U535" i="2"/>
  <c r="S536" i="2"/>
  <c r="N324" i="2"/>
  <c r="M324" i="2"/>
  <c r="R536" i="2"/>
  <c r="U536" i="2"/>
  <c r="R537" i="2"/>
  <c r="S537" i="2"/>
  <c r="U537" i="2"/>
  <c r="S538" i="2"/>
  <c r="T536" i="2"/>
  <c r="K325" i="2"/>
  <c r="R538" i="2"/>
  <c r="T537" i="2"/>
  <c r="U538" i="2"/>
  <c r="R539" i="2"/>
  <c r="S539" i="2"/>
  <c r="U539" i="2"/>
  <c r="T538" i="2"/>
  <c r="L325" i="2"/>
  <c r="M325" i="2"/>
  <c r="R540" i="2"/>
  <c r="S540" i="2"/>
  <c r="T539" i="2"/>
  <c r="N325" i="2"/>
  <c r="U540" i="2"/>
  <c r="R541" i="2"/>
  <c r="S541" i="2"/>
  <c r="U541" i="2"/>
  <c r="T540" i="2"/>
  <c r="K326" i="2"/>
  <c r="T541" i="2"/>
  <c r="R542" i="2"/>
  <c r="S542" i="2"/>
  <c r="K327" i="2"/>
  <c r="L326" i="2"/>
  <c r="M326" i="2"/>
  <c r="M327" i="2"/>
  <c r="U542" i="2"/>
  <c r="R543" i="2"/>
  <c r="S543" i="2"/>
  <c r="U543" i="2"/>
  <c r="T542" i="2"/>
  <c r="L327" i="2"/>
  <c r="N326" i="2"/>
  <c r="N327" i="2"/>
  <c r="S544" i="2"/>
  <c r="R544" i="2"/>
  <c r="T543" i="2"/>
  <c r="K328" i="2"/>
  <c r="U544" i="2"/>
  <c r="T544" i="2"/>
  <c r="L328" i="2"/>
  <c r="R545" i="2"/>
  <c r="S545" i="2"/>
  <c r="N328" i="2"/>
  <c r="M328" i="2"/>
  <c r="U545" i="2"/>
  <c r="S546" i="2"/>
  <c r="T545" i="2"/>
  <c r="K329" i="2"/>
  <c r="R546" i="2"/>
  <c r="U546" i="2"/>
  <c r="L329" i="2"/>
  <c r="M329" i="2"/>
  <c r="T546" i="2"/>
  <c r="R547" i="2"/>
  <c r="R548" i="2"/>
  <c r="N329" i="2"/>
  <c r="S547" i="2"/>
  <c r="S548" i="2"/>
  <c r="K330" i="2"/>
  <c r="U547" i="2"/>
  <c r="U548" i="2"/>
  <c r="R549" i="2"/>
  <c r="T547" i="2"/>
  <c r="T548" i="2"/>
  <c r="L330" i="2"/>
  <c r="S549" i="2"/>
  <c r="U549" i="2"/>
  <c r="R550" i="2"/>
  <c r="S550" i="2"/>
  <c r="T550" i="2"/>
  <c r="T549" i="2"/>
  <c r="N330" i="2"/>
  <c r="M330" i="2"/>
  <c r="U550" i="2"/>
  <c r="S551" i="2"/>
  <c r="K331" i="2"/>
  <c r="R551" i="2"/>
  <c r="U551" i="2"/>
  <c r="R552" i="2"/>
  <c r="T551" i="2"/>
  <c r="L331" i="2"/>
  <c r="M331" i="2"/>
  <c r="S552" i="2"/>
  <c r="U552" i="2"/>
  <c r="R553" i="2"/>
  <c r="N331" i="2"/>
  <c r="S553" i="2"/>
  <c r="T553" i="2"/>
  <c r="T552" i="2"/>
  <c r="K332" i="2"/>
  <c r="U553" i="2"/>
  <c r="R554" i="2"/>
  <c r="S554" i="2"/>
  <c r="U554" i="2"/>
  <c r="R555" i="2"/>
  <c r="L332" i="2"/>
  <c r="S555" i="2"/>
  <c r="U555" i="2"/>
  <c r="T554" i="2"/>
  <c r="N332" i="2"/>
  <c r="M332" i="2"/>
  <c r="T555" i="2"/>
  <c r="R556" i="2"/>
  <c r="S556" i="2"/>
  <c r="K333" i="2"/>
  <c r="U556" i="2"/>
  <c r="R557" i="2"/>
  <c r="T556" i="2"/>
  <c r="L333" i="2"/>
  <c r="S557" i="2"/>
  <c r="U557" i="2"/>
  <c r="R558" i="2"/>
  <c r="S558" i="2"/>
  <c r="U558" i="2"/>
  <c r="N333" i="2"/>
  <c r="M333" i="2"/>
  <c r="T557" i="2"/>
  <c r="S559" i="2"/>
  <c r="R559" i="2"/>
  <c r="T558" i="2"/>
  <c r="K334" i="2"/>
  <c r="T559" i="2"/>
  <c r="U559" i="2"/>
  <c r="L334" i="2"/>
  <c r="R560" i="2"/>
  <c r="R561" i="2"/>
  <c r="N334" i="2"/>
  <c r="M334" i="2"/>
  <c r="S560" i="2"/>
  <c r="S561" i="2"/>
  <c r="K335" i="2"/>
  <c r="T560" i="2"/>
  <c r="T561" i="2"/>
  <c r="U560" i="2"/>
  <c r="U561" i="2"/>
  <c r="L335" i="2"/>
  <c r="M335" i="2"/>
  <c r="N335" i="2"/>
  <c r="K336" i="2"/>
  <c r="L336" i="2"/>
  <c r="N336" i="2"/>
  <c r="K337" i="2"/>
  <c r="M336" i="2"/>
  <c r="L337" i="2"/>
  <c r="M337" i="2"/>
  <c r="N337" i="2"/>
  <c r="K338" i="2"/>
  <c r="L338" i="2"/>
  <c r="N338" i="2"/>
  <c r="M338" i="2"/>
  <c r="K339" i="2"/>
  <c r="K340" i="2"/>
  <c r="L339" i="2"/>
  <c r="L340" i="2"/>
  <c r="N339" i="2"/>
  <c r="N340" i="2"/>
  <c r="M339" i="2"/>
  <c r="M340" i="2"/>
  <c r="K341" i="2"/>
  <c r="L341" i="2"/>
  <c r="N341" i="2"/>
  <c r="M341" i="2"/>
  <c r="K342" i="2"/>
  <c r="L342" i="2"/>
  <c r="N342" i="2"/>
  <c r="M342" i="2"/>
  <c r="K343" i="2"/>
  <c r="L343" i="2"/>
  <c r="N343" i="2"/>
  <c r="M343" i="2"/>
  <c r="K344" i="2"/>
  <c r="L344" i="2"/>
  <c r="M344" i="2"/>
  <c r="N344" i="2"/>
  <c r="K345" i="2"/>
  <c r="L345" i="2"/>
  <c r="N345" i="2"/>
  <c r="M345" i="2"/>
  <c r="K346" i="2"/>
  <c r="L346" i="2"/>
  <c r="N346" i="2"/>
  <c r="M346" i="2"/>
  <c r="K347" i="2"/>
  <c r="L347" i="2"/>
  <c r="N347" i="2"/>
  <c r="M347" i="2"/>
  <c r="K348" i="2"/>
  <c r="L348" i="2"/>
  <c r="M348" i="2"/>
  <c r="N348" i="2"/>
  <c r="K349" i="2"/>
  <c r="L349" i="2"/>
  <c r="N349" i="2"/>
  <c r="M349" i="2"/>
  <c r="K350" i="2"/>
  <c r="L350" i="2"/>
  <c r="N350" i="2"/>
  <c r="M350" i="2"/>
  <c r="K351" i="2"/>
  <c r="L351" i="2"/>
  <c r="N351" i="2"/>
  <c r="M351" i="2"/>
  <c r="K352" i="2"/>
  <c r="K353" i="2"/>
  <c r="L352" i="2"/>
  <c r="L353" i="2"/>
  <c r="N352" i="2"/>
  <c r="N353" i="2"/>
  <c r="M352" i="2"/>
  <c r="M353" i="2"/>
  <c r="K354" i="2"/>
  <c r="L354" i="2"/>
  <c r="M354" i="2"/>
  <c r="N354" i="2"/>
  <c r="K355" i="2"/>
  <c r="L355" i="2"/>
  <c r="M355" i="2"/>
  <c r="N355" i="2"/>
  <c r="K356" i="2"/>
  <c r="L356" i="2"/>
  <c r="M356" i="2"/>
  <c r="N356" i="2"/>
  <c r="K357" i="2"/>
  <c r="L357" i="2"/>
  <c r="M357" i="2"/>
  <c r="N357" i="2"/>
  <c r="K358" i="2"/>
  <c r="L358" i="2"/>
  <c r="M358" i="2"/>
  <c r="N358" i="2"/>
  <c r="K359" i="2"/>
  <c r="L359" i="2"/>
  <c r="N359" i="2"/>
  <c r="M359" i="2"/>
  <c r="K360" i="2"/>
  <c r="L360" i="2"/>
  <c r="N360" i="2"/>
  <c r="M360" i="2"/>
  <c r="K361" i="2"/>
  <c r="L361" i="2"/>
  <c r="N361" i="2"/>
  <c r="M361" i="2"/>
  <c r="K362" i="2"/>
  <c r="L362" i="2"/>
  <c r="N362" i="2"/>
  <c r="K363" i="2"/>
  <c r="M362" i="2"/>
  <c r="L363" i="2"/>
  <c r="N363" i="2"/>
  <c r="M363" i="2"/>
  <c r="K364" i="2"/>
  <c r="L364" i="2"/>
  <c r="M364" i="2"/>
  <c r="N364" i="2"/>
  <c r="K365" i="2"/>
  <c r="K366" i="2"/>
  <c r="L365" i="2"/>
  <c r="L366" i="2"/>
  <c r="N365" i="2"/>
  <c r="N366" i="2"/>
  <c r="M365" i="2"/>
  <c r="M366" i="2"/>
  <c r="K367" i="2"/>
  <c r="L367" i="2"/>
  <c r="N367" i="2"/>
  <c r="M367" i="2"/>
  <c r="K368" i="2"/>
  <c r="L368" i="2"/>
  <c r="N368" i="2"/>
  <c r="M368" i="2"/>
  <c r="K369" i="2"/>
  <c r="L369" i="2"/>
  <c r="M369" i="2"/>
  <c r="N369" i="2"/>
  <c r="K370" i="2"/>
  <c r="L370" i="2"/>
  <c r="M370" i="2"/>
  <c r="N370" i="2"/>
  <c r="K371" i="2"/>
  <c r="L371" i="2"/>
  <c r="N371" i="2"/>
  <c r="M371" i="2"/>
  <c r="K372" i="2"/>
  <c r="L372" i="2"/>
  <c r="N372" i="2"/>
  <c r="M372" i="2"/>
  <c r="K373" i="2"/>
  <c r="L373" i="2"/>
  <c r="N373" i="2"/>
  <c r="M373" i="2"/>
  <c r="K374" i="2"/>
  <c r="L374" i="2"/>
  <c r="N374" i="2"/>
  <c r="M374" i="2"/>
  <c r="K375" i="2"/>
  <c r="L375" i="2"/>
  <c r="N375" i="2"/>
  <c r="K376" i="2"/>
  <c r="M375" i="2"/>
  <c r="L376" i="2"/>
  <c r="M376" i="2"/>
  <c r="N376" i="2"/>
  <c r="K377" i="2"/>
  <c r="L377" i="2"/>
  <c r="M377" i="2"/>
  <c r="N377" i="2"/>
  <c r="K378" i="2"/>
  <c r="K379" i="2"/>
  <c r="L378" i="2"/>
  <c r="L379" i="2"/>
  <c r="N378" i="2"/>
  <c r="N379" i="2"/>
  <c r="M378" i="2"/>
  <c r="M379" i="2"/>
  <c r="K380" i="2"/>
  <c r="L380" i="2"/>
  <c r="N380" i="2"/>
  <c r="M380" i="2"/>
  <c r="K381" i="2"/>
  <c r="L381" i="2"/>
  <c r="M381" i="2"/>
  <c r="N381" i="2"/>
  <c r="K382" i="2"/>
  <c r="L382" i="2"/>
  <c r="N382" i="2"/>
  <c r="M382" i="2"/>
  <c r="K383" i="2"/>
  <c r="L383" i="2"/>
  <c r="N383" i="2"/>
  <c r="M383" i="2"/>
  <c r="K384" i="2"/>
  <c r="L384" i="2"/>
  <c r="N384" i="2"/>
  <c r="M384" i="2"/>
  <c r="K385" i="2"/>
  <c r="L385" i="2"/>
  <c r="N385" i="2"/>
  <c r="M385" i="2"/>
  <c r="K386" i="2"/>
  <c r="L386" i="2"/>
  <c r="N386" i="2"/>
  <c r="M386" i="2"/>
  <c r="K387" i="2"/>
  <c r="L387" i="2"/>
  <c r="N387" i="2"/>
  <c r="M387" i="2"/>
  <c r="K388" i="2"/>
  <c r="L388" i="2"/>
  <c r="N388" i="2"/>
  <c r="K389" i="2"/>
  <c r="M388" i="2"/>
  <c r="L389" i="2"/>
  <c r="M389" i="2"/>
  <c r="N389" i="2"/>
  <c r="K390" i="2"/>
  <c r="L390" i="2"/>
  <c r="M390" i="2"/>
  <c r="N390" i="2"/>
  <c r="K391" i="2"/>
  <c r="K392" i="2"/>
  <c r="L391" i="2"/>
  <c r="L392" i="2"/>
  <c r="N391" i="2"/>
  <c r="N392" i="2"/>
  <c r="M391" i="2"/>
  <c r="M392" i="2"/>
  <c r="K393" i="2"/>
  <c r="L393" i="2"/>
  <c r="N393" i="2"/>
  <c r="M393" i="2"/>
  <c r="K394" i="2"/>
  <c r="L394" i="2"/>
  <c r="M394" i="2"/>
  <c r="N394" i="2"/>
  <c r="K395" i="2"/>
  <c r="L395" i="2"/>
  <c r="M395" i="2"/>
  <c r="N395" i="2"/>
  <c r="K396" i="2"/>
  <c r="L396" i="2"/>
  <c r="M396" i="2"/>
  <c r="N396" i="2"/>
  <c r="K397" i="2"/>
  <c r="L397" i="2"/>
  <c r="M397" i="2"/>
  <c r="N397" i="2"/>
  <c r="K398" i="2"/>
  <c r="L398" i="2"/>
  <c r="N398" i="2"/>
  <c r="M398" i="2"/>
  <c r="K399" i="2"/>
  <c r="L399" i="2"/>
  <c r="N399" i="2"/>
  <c r="M399" i="2"/>
  <c r="K400" i="2"/>
  <c r="L400" i="2"/>
  <c r="M400" i="2"/>
  <c r="N400" i="2"/>
  <c r="K401" i="2"/>
  <c r="L401" i="2"/>
  <c r="N401" i="2"/>
  <c r="K402" i="2"/>
  <c r="M401" i="2"/>
  <c r="L402" i="2"/>
  <c r="M402" i="2"/>
  <c r="N402" i="2"/>
  <c r="K403" i="2"/>
  <c r="L403" i="2"/>
  <c r="M403" i="2"/>
  <c r="N403" i="2"/>
  <c r="K404" i="2"/>
  <c r="K405" i="2"/>
  <c r="L404" i="2"/>
  <c r="M404" i="2"/>
  <c r="M405" i="2"/>
  <c r="L405" i="2"/>
  <c r="N404" i="2"/>
  <c r="N405" i="2"/>
  <c r="K406" i="2"/>
  <c r="L406" i="2"/>
  <c r="N406" i="2"/>
  <c r="M406" i="2"/>
  <c r="K407" i="2"/>
  <c r="L407" i="2"/>
  <c r="N407" i="2"/>
  <c r="M407" i="2"/>
  <c r="K408" i="2"/>
  <c r="L408" i="2"/>
  <c r="M408" i="2"/>
  <c r="N408" i="2"/>
  <c r="K409" i="2"/>
  <c r="L409" i="2"/>
  <c r="M409" i="2"/>
  <c r="N409" i="2"/>
  <c r="K410" i="2"/>
  <c r="L410" i="2"/>
  <c r="M410" i="2"/>
  <c r="N410" i="2"/>
  <c r="K411" i="2"/>
  <c r="L411" i="2"/>
  <c r="N411" i="2"/>
  <c r="M411" i="2"/>
  <c r="K412" i="2"/>
  <c r="L412" i="2"/>
  <c r="N412" i="2"/>
  <c r="M412" i="2"/>
  <c r="K413" i="2"/>
  <c r="L413" i="2"/>
  <c r="M413" i="2"/>
  <c r="N413" i="2"/>
  <c r="K414" i="2"/>
  <c r="L414" i="2"/>
  <c r="N414" i="2"/>
  <c r="K415" i="2"/>
  <c r="M414" i="2"/>
  <c r="L415" i="2"/>
  <c r="M415" i="2"/>
  <c r="N415" i="2"/>
  <c r="K416" i="2"/>
  <c r="L416" i="2"/>
  <c r="M416" i="2"/>
  <c r="N416" i="2"/>
  <c r="K417" i="2"/>
  <c r="K418" i="2"/>
  <c r="L417" i="2"/>
  <c r="L418" i="2"/>
  <c r="N417" i="2"/>
  <c r="N418" i="2"/>
  <c r="M417" i="2"/>
  <c r="M418" i="2"/>
  <c r="K419" i="2"/>
  <c r="L419" i="2"/>
  <c r="M419" i="2"/>
  <c r="N419" i="2"/>
  <c r="K420" i="2"/>
  <c r="L420" i="2"/>
  <c r="N420" i="2"/>
  <c r="M420" i="2"/>
  <c r="K421" i="2"/>
  <c r="L421" i="2"/>
  <c r="N421" i="2"/>
  <c r="M421" i="2"/>
  <c r="K422" i="2"/>
  <c r="L422" i="2"/>
  <c r="N422" i="2"/>
  <c r="M422" i="2"/>
  <c r="K423" i="2"/>
  <c r="L423" i="2"/>
  <c r="N423" i="2"/>
  <c r="M423" i="2"/>
  <c r="K424" i="2"/>
  <c r="L424" i="2"/>
  <c r="N424" i="2"/>
  <c r="M424" i="2"/>
  <c r="K425" i="2"/>
  <c r="L425" i="2"/>
  <c r="M425" i="2"/>
  <c r="N425" i="2"/>
  <c r="K426" i="2"/>
  <c r="L426" i="2"/>
  <c r="N426" i="2"/>
  <c r="M426" i="2"/>
  <c r="K427" i="2"/>
  <c r="L427" i="2"/>
  <c r="N427" i="2"/>
  <c r="K428" i="2"/>
  <c r="M427" i="2"/>
  <c r="L428" i="2"/>
  <c r="N428" i="2"/>
  <c r="M428" i="2"/>
  <c r="K429" i="2"/>
  <c r="L429" i="2"/>
  <c r="M429" i="2"/>
  <c r="N429" i="2"/>
  <c r="K430" i="2"/>
  <c r="K431" i="2"/>
  <c r="L430" i="2"/>
  <c r="L431" i="2"/>
  <c r="N430" i="2"/>
  <c r="N431" i="2"/>
  <c r="M430" i="2"/>
  <c r="M431" i="2"/>
  <c r="K432" i="2"/>
  <c r="L432" i="2"/>
  <c r="N432" i="2"/>
  <c r="M432" i="2"/>
  <c r="K433" i="2"/>
  <c r="L433" i="2"/>
  <c r="M433" i="2"/>
  <c r="N433" i="2"/>
  <c r="K434" i="2"/>
  <c r="L434" i="2"/>
  <c r="M434" i="2"/>
  <c r="N434" i="2"/>
  <c r="K435" i="2"/>
  <c r="L435" i="2"/>
  <c r="M435" i="2"/>
  <c r="N435" i="2"/>
  <c r="K436" i="2"/>
  <c r="L436" i="2"/>
  <c r="N436" i="2"/>
  <c r="M436" i="2"/>
  <c r="K437" i="2"/>
  <c r="L437" i="2"/>
  <c r="N437" i="2"/>
  <c r="M437" i="2"/>
  <c r="K438" i="2"/>
  <c r="L438" i="2"/>
  <c r="N438" i="2"/>
  <c r="M438" i="2"/>
  <c r="K439" i="2"/>
  <c r="L439" i="2"/>
  <c r="M439" i="2"/>
  <c r="N439" i="2"/>
  <c r="K440" i="2"/>
  <c r="L440" i="2"/>
  <c r="N440" i="2"/>
  <c r="K441" i="2"/>
  <c r="M440" i="2"/>
  <c r="L441" i="2"/>
  <c r="N441" i="2"/>
  <c r="M441" i="2"/>
  <c r="K442" i="2"/>
  <c r="L442" i="2"/>
  <c r="M442" i="2"/>
  <c r="N442" i="2"/>
  <c r="K443" i="2"/>
  <c r="K444" i="2"/>
  <c r="L443" i="2"/>
  <c r="M443" i="2"/>
  <c r="M444" i="2"/>
  <c r="L444" i="2"/>
  <c r="N443" i="2"/>
  <c r="N444" i="2"/>
  <c r="K445" i="2"/>
  <c r="L445" i="2"/>
  <c r="M445" i="2"/>
  <c r="N445" i="2"/>
  <c r="K446" i="2"/>
  <c r="L446" i="2"/>
  <c r="M446" i="2"/>
  <c r="N446" i="2"/>
  <c r="K447" i="2"/>
  <c r="L447" i="2"/>
  <c r="M447" i="2"/>
  <c r="N447" i="2"/>
  <c r="K448" i="2"/>
  <c r="L448" i="2"/>
  <c r="N448" i="2"/>
  <c r="M448" i="2"/>
  <c r="K449" i="2"/>
  <c r="L449" i="2"/>
  <c r="M449" i="2"/>
  <c r="N449" i="2"/>
  <c r="K450" i="2"/>
  <c r="L450" i="2"/>
  <c r="N450" i="2"/>
  <c r="M450" i="2"/>
  <c r="K451" i="2"/>
  <c r="L451" i="2"/>
  <c r="N451" i="2"/>
  <c r="M451" i="2"/>
  <c r="K452" i="2"/>
  <c r="L452" i="2"/>
  <c r="N452" i="2"/>
  <c r="M452" i="2"/>
  <c r="K453" i="2"/>
  <c r="L453" i="2"/>
  <c r="N453" i="2"/>
  <c r="K454" i="2"/>
  <c r="M453" i="2"/>
  <c r="L454" i="2"/>
  <c r="N454" i="2"/>
  <c r="M454" i="2"/>
  <c r="K455" i="2"/>
  <c r="L455" i="2"/>
  <c r="N455" i="2"/>
  <c r="M455" i="2"/>
  <c r="K456" i="2"/>
  <c r="K457" i="2"/>
  <c r="L456" i="2"/>
  <c r="L457" i="2"/>
  <c r="N456" i="2"/>
  <c r="N457" i="2"/>
  <c r="M456" i="2"/>
  <c r="M457" i="2"/>
  <c r="K458" i="2"/>
  <c r="L458" i="2"/>
  <c r="M458" i="2"/>
  <c r="N458" i="2"/>
  <c r="K459" i="2"/>
  <c r="L459" i="2"/>
  <c r="M459" i="2"/>
  <c r="N459" i="2"/>
  <c r="K460" i="2"/>
  <c r="L460" i="2"/>
  <c r="N460" i="2"/>
  <c r="M460" i="2"/>
  <c r="K461" i="2"/>
  <c r="L461" i="2"/>
  <c r="M461" i="2"/>
  <c r="N461" i="2"/>
  <c r="K462" i="2"/>
  <c r="L462" i="2"/>
  <c r="N462" i="2"/>
  <c r="M462" i="2"/>
  <c r="K463" i="2"/>
  <c r="L463" i="2"/>
  <c r="N463" i="2"/>
  <c r="M463" i="2"/>
  <c r="K464" i="2"/>
  <c r="L464" i="2"/>
  <c r="M464" i="2"/>
  <c r="N464" i="2"/>
  <c r="K465" i="2"/>
  <c r="L465" i="2"/>
  <c r="N465" i="2"/>
  <c r="M465" i="2"/>
  <c r="K466" i="2"/>
  <c r="L466" i="2"/>
  <c r="N466" i="2"/>
  <c r="M466" i="2"/>
  <c r="K467" i="2"/>
  <c r="L467" i="2"/>
  <c r="N467" i="2"/>
  <c r="M467" i="2"/>
  <c r="K468" i="2"/>
  <c r="L468" i="2"/>
  <c r="M468" i="2"/>
  <c r="N468" i="2"/>
  <c r="K469" i="2"/>
  <c r="K470" i="2"/>
  <c r="L469" i="2"/>
  <c r="L470" i="2"/>
  <c r="N469" i="2"/>
  <c r="N470" i="2"/>
  <c r="M469" i="2"/>
  <c r="M470" i="2"/>
  <c r="K471" i="2"/>
  <c r="L471" i="2"/>
  <c r="M471" i="2"/>
  <c r="N471" i="2"/>
  <c r="K472" i="2"/>
  <c r="L472" i="2"/>
  <c r="N472" i="2"/>
  <c r="M472" i="2"/>
  <c r="K473" i="2"/>
  <c r="L473" i="2"/>
  <c r="N473" i="2"/>
  <c r="M473" i="2"/>
  <c r="K474" i="2"/>
  <c r="L474" i="2"/>
  <c r="M474" i="2"/>
  <c r="N474" i="2"/>
  <c r="K475" i="2"/>
  <c r="L475" i="2"/>
  <c r="N475" i="2"/>
  <c r="M475" i="2"/>
  <c r="K476" i="2"/>
  <c r="L476" i="2"/>
  <c r="M476" i="2"/>
  <c r="N476" i="2"/>
  <c r="K477" i="2"/>
  <c r="L477" i="2"/>
  <c r="M477" i="2"/>
  <c r="N477" i="2"/>
  <c r="K478" i="2"/>
  <c r="L478" i="2"/>
  <c r="M478" i="2"/>
  <c r="N478" i="2"/>
  <c r="K479" i="2"/>
  <c r="L479" i="2"/>
  <c r="N479" i="2"/>
  <c r="M479" i="2"/>
  <c r="K480" i="2"/>
  <c r="L480" i="2"/>
  <c r="N480" i="2"/>
  <c r="M480" i="2"/>
  <c r="K481" i="2"/>
  <c r="L481" i="2"/>
  <c r="M481" i="2"/>
  <c r="N481" i="2"/>
  <c r="K482" i="2"/>
  <c r="K483" i="2"/>
  <c r="L482" i="2"/>
  <c r="L483" i="2"/>
  <c r="N482" i="2"/>
  <c r="N483" i="2"/>
  <c r="M482" i="2"/>
  <c r="M483" i="2"/>
  <c r="K484" i="2"/>
  <c r="L484" i="2"/>
  <c r="M484" i="2"/>
  <c r="N484" i="2"/>
  <c r="K485" i="2"/>
  <c r="L485" i="2"/>
  <c r="N485" i="2"/>
  <c r="M485" i="2"/>
  <c r="K486" i="2"/>
  <c r="L486" i="2"/>
  <c r="N486" i="2"/>
  <c r="M486" i="2"/>
  <c r="K487" i="2"/>
  <c r="L487" i="2"/>
  <c r="M487" i="2"/>
  <c r="N487" i="2"/>
  <c r="K488" i="2"/>
  <c r="L488" i="2"/>
  <c r="M488" i="2"/>
  <c r="N488" i="2"/>
  <c r="K489" i="2"/>
  <c r="L489" i="2"/>
  <c r="N489" i="2"/>
  <c r="M489" i="2"/>
  <c r="K490" i="2"/>
  <c r="L490" i="2"/>
  <c r="N490" i="2"/>
  <c r="M490" i="2"/>
  <c r="K491" i="2"/>
  <c r="L491" i="2"/>
  <c r="N491" i="2"/>
  <c r="M491" i="2"/>
  <c r="K492" i="2"/>
  <c r="L492" i="2"/>
  <c r="N492" i="2"/>
  <c r="K493" i="2"/>
  <c r="M492" i="2"/>
  <c r="L493" i="2"/>
  <c r="M493" i="2"/>
  <c r="N493" i="2"/>
  <c r="K494" i="2"/>
  <c r="L494" i="2"/>
  <c r="M494" i="2"/>
  <c r="N494" i="2"/>
  <c r="K495" i="2"/>
  <c r="K496" i="2"/>
  <c r="L495" i="2"/>
  <c r="L496" i="2"/>
  <c r="N495" i="2"/>
  <c r="N496" i="2"/>
  <c r="M495" i="2"/>
  <c r="M496" i="2"/>
  <c r="K497" i="2"/>
  <c r="L497" i="2"/>
  <c r="N497" i="2"/>
  <c r="M497" i="2"/>
  <c r="K498" i="2"/>
  <c r="L498" i="2"/>
  <c r="M498" i="2"/>
  <c r="N498" i="2"/>
  <c r="K499" i="2"/>
  <c r="L499" i="2"/>
  <c r="N499" i="2"/>
  <c r="M499" i="2"/>
  <c r="K500" i="2"/>
  <c r="L500" i="2"/>
  <c r="M500" i="2"/>
  <c r="N500" i="2"/>
  <c r="K501" i="2"/>
  <c r="L501" i="2"/>
  <c r="N501" i="2"/>
  <c r="M501" i="2"/>
  <c r="K502" i="2"/>
  <c r="L502" i="2"/>
  <c r="M502" i="2"/>
  <c r="N502" i="2"/>
  <c r="K503" i="2"/>
  <c r="L503" i="2"/>
  <c r="N503" i="2"/>
  <c r="M503" i="2"/>
  <c r="K504" i="2"/>
  <c r="L504" i="2"/>
  <c r="M504" i="2"/>
  <c r="N504" i="2"/>
  <c r="K505" i="2"/>
  <c r="L505" i="2"/>
  <c r="N505" i="2"/>
  <c r="K506" i="2"/>
  <c r="M505" i="2"/>
  <c r="L506" i="2"/>
  <c r="M506" i="2"/>
  <c r="N506" i="2"/>
  <c r="K507" i="2"/>
  <c r="L507" i="2"/>
  <c r="M507" i="2"/>
  <c r="N507" i="2"/>
  <c r="K508" i="2"/>
  <c r="K509" i="2"/>
  <c r="L508" i="2"/>
  <c r="L509" i="2"/>
  <c r="N508" i="2"/>
  <c r="N509" i="2"/>
  <c r="M508" i="2"/>
  <c r="M509" i="2"/>
  <c r="K510" i="2"/>
  <c r="L510" i="2"/>
  <c r="N510" i="2"/>
  <c r="M510" i="2"/>
  <c r="K511" i="2"/>
  <c r="L511" i="2"/>
  <c r="N511" i="2"/>
  <c r="M511" i="2"/>
  <c r="K512" i="2"/>
  <c r="L512" i="2"/>
  <c r="M512" i="2"/>
  <c r="N512" i="2"/>
  <c r="K513" i="2"/>
  <c r="L513" i="2"/>
  <c r="M513" i="2"/>
  <c r="N513" i="2"/>
  <c r="K514" i="2"/>
  <c r="L514" i="2"/>
  <c r="N514" i="2"/>
  <c r="M514" i="2"/>
  <c r="K515" i="2"/>
  <c r="L515" i="2"/>
  <c r="M515" i="2"/>
  <c r="N515" i="2"/>
  <c r="K516" i="2"/>
  <c r="L516" i="2"/>
  <c r="N516" i="2"/>
  <c r="M516" i="2"/>
  <c r="K517" i="2"/>
  <c r="L517" i="2"/>
  <c r="N517" i="2"/>
  <c r="M517" i="2"/>
  <c r="K518" i="2"/>
  <c r="L518" i="2"/>
  <c r="N518" i="2"/>
  <c r="K519" i="2"/>
  <c r="M518" i="2"/>
  <c r="L519" i="2"/>
  <c r="N519" i="2"/>
  <c r="M519" i="2"/>
  <c r="K520" i="2"/>
  <c r="L520" i="2"/>
  <c r="M520" i="2"/>
  <c r="N520" i="2"/>
  <c r="K521" i="2"/>
  <c r="K522" i="2"/>
  <c r="L521" i="2"/>
  <c r="M521" i="2"/>
  <c r="M522" i="2"/>
  <c r="L522" i="2"/>
  <c r="N521" i="2"/>
  <c r="N522" i="2"/>
  <c r="K523" i="2"/>
  <c r="L523" i="2"/>
  <c r="N523" i="2"/>
  <c r="M523" i="2"/>
  <c r="K524" i="2"/>
  <c r="L524" i="2"/>
  <c r="M524" i="2"/>
  <c r="N524" i="2"/>
  <c r="K525" i="2"/>
  <c r="L525" i="2"/>
  <c r="N525" i="2"/>
  <c r="M525" i="2"/>
  <c r="K526" i="2"/>
  <c r="L526" i="2"/>
  <c r="M526" i="2"/>
  <c r="N526" i="2"/>
  <c r="K527" i="2"/>
  <c r="L527" i="2"/>
  <c r="N527" i="2"/>
  <c r="M527" i="2"/>
  <c r="K528" i="2"/>
  <c r="L528" i="2"/>
  <c r="N528" i="2"/>
  <c r="M528" i="2"/>
  <c r="K529" i="2"/>
  <c r="L529" i="2"/>
  <c r="N529" i="2"/>
  <c r="M529" i="2"/>
  <c r="K530" i="2"/>
  <c r="L530" i="2"/>
  <c r="N530" i="2"/>
  <c r="M530" i="2"/>
  <c r="K531" i="2"/>
  <c r="L531" i="2"/>
  <c r="N531" i="2"/>
  <c r="K532" i="2"/>
  <c r="M531" i="2"/>
  <c r="L532" i="2"/>
  <c r="M532" i="2"/>
  <c r="N532" i="2"/>
  <c r="K533" i="2"/>
  <c r="L533" i="2"/>
  <c r="M533" i="2"/>
  <c r="N533" i="2"/>
  <c r="K534" i="2"/>
  <c r="K535" i="2"/>
  <c r="L534" i="2"/>
  <c r="M534" i="2"/>
  <c r="M535" i="2"/>
  <c r="L535" i="2"/>
  <c r="N534" i="2"/>
  <c r="N535" i="2"/>
  <c r="K536" i="2"/>
  <c r="L536" i="2"/>
  <c r="N536" i="2"/>
  <c r="M536" i="2"/>
  <c r="K537" i="2"/>
  <c r="L537" i="2"/>
  <c r="M537" i="2"/>
  <c r="N537" i="2"/>
  <c r="K538" i="2"/>
  <c r="L538" i="2"/>
  <c r="N538" i="2"/>
  <c r="M538" i="2"/>
  <c r="K539" i="2"/>
  <c r="L539" i="2"/>
  <c r="N539" i="2"/>
  <c r="M539" i="2"/>
  <c r="K540" i="2"/>
  <c r="L540" i="2"/>
  <c r="M540" i="2"/>
  <c r="N540" i="2"/>
  <c r="K541" i="2"/>
  <c r="L541" i="2"/>
  <c r="N541" i="2"/>
  <c r="M541" i="2"/>
  <c r="K542" i="2"/>
  <c r="L542" i="2"/>
  <c r="N542" i="2"/>
  <c r="M542" i="2"/>
  <c r="K543" i="2"/>
  <c r="L543" i="2"/>
  <c r="N543" i="2"/>
  <c r="M543" i="2"/>
  <c r="K544" i="2"/>
  <c r="L544" i="2"/>
  <c r="N544" i="2"/>
  <c r="M544" i="2"/>
  <c r="K545" i="2"/>
  <c r="L545" i="2"/>
  <c r="M545" i="2"/>
  <c r="N545" i="2"/>
  <c r="K546" i="2"/>
  <c r="L546" i="2"/>
  <c r="M546" i="2"/>
  <c r="N546" i="2"/>
  <c r="K547" i="2"/>
  <c r="K548" i="2"/>
  <c r="L547" i="2"/>
  <c r="L548" i="2"/>
  <c r="N547" i="2"/>
  <c r="N548" i="2"/>
  <c r="M547" i="2"/>
  <c r="M548" i="2"/>
  <c r="K549" i="2"/>
  <c r="L549" i="2"/>
  <c r="N549" i="2"/>
  <c r="M549" i="2"/>
  <c r="K550" i="2"/>
  <c r="L550" i="2"/>
  <c r="N550" i="2"/>
  <c r="M550" i="2"/>
  <c r="K551" i="2"/>
  <c r="L551" i="2"/>
  <c r="M551" i="2"/>
  <c r="N551" i="2"/>
  <c r="K552" i="2"/>
  <c r="L552" i="2"/>
  <c r="N552" i="2"/>
  <c r="M552" i="2"/>
  <c r="K553" i="2"/>
  <c r="L553" i="2"/>
  <c r="N553" i="2"/>
  <c r="M553" i="2"/>
  <c r="K554" i="2"/>
  <c r="L554" i="2"/>
  <c r="M554" i="2"/>
  <c r="N554" i="2"/>
  <c r="K555" i="2"/>
  <c r="L555" i="2"/>
  <c r="N555" i="2"/>
  <c r="M555" i="2"/>
  <c r="K556" i="2"/>
  <c r="L556" i="2"/>
  <c r="N556" i="2"/>
  <c r="M556" i="2"/>
  <c r="K557" i="2"/>
  <c r="L557" i="2"/>
  <c r="N557" i="2"/>
  <c r="K558" i="2"/>
  <c r="M557" i="2"/>
  <c r="L558" i="2"/>
  <c r="N558" i="2"/>
  <c r="K559" i="2"/>
  <c r="M558" i="2"/>
  <c r="L559" i="2"/>
  <c r="N559" i="2"/>
  <c r="K560" i="2"/>
  <c r="M559" i="2"/>
  <c r="K561" i="2"/>
  <c r="L560" i="2"/>
  <c r="M560" i="2"/>
  <c r="M561" i="2"/>
  <c r="L561" i="2"/>
  <c r="N560" i="2"/>
  <c r="N561" i="2"/>
</calcChain>
</file>

<file path=xl/sharedStrings.xml><?xml version="1.0" encoding="utf-8"?>
<sst xmlns="http://schemas.openxmlformats.org/spreadsheetml/2006/main" count="1941" uniqueCount="1150">
  <si>
    <t>Amenities are exclusively for homeowner use.  One parking space per unit minimum, unless there is less than one parking stall per unit for the entire project.</t>
  </si>
  <si>
    <t>Developer Construction Loan</t>
  </si>
  <si>
    <t>OWHLF Term Desired:</t>
  </si>
  <si>
    <t>Months</t>
  </si>
  <si>
    <t>Const Loan:</t>
  </si>
  <si>
    <t>Conventional/Non-Fed</t>
  </si>
  <si>
    <t>(NOT for ADDI, SFRRP, Home Choice, or Self-Help)</t>
  </si>
  <si>
    <t>Source of Funds (Name of Lender(s))</t>
  </si>
  <si>
    <t>*Status codes - LOI=Letter of Interest; NA=No formal action; A=Application submitted; C=Commitment received.  Please provide a copy of the status letter where applicable.</t>
  </si>
  <si>
    <t>Closeout/Beginning of Compliance Period</t>
  </si>
  <si>
    <t>Total project cost should equal the total source of funds as listed on page 17.</t>
  </si>
  <si>
    <t>LOI</t>
  </si>
  <si>
    <t>NA</t>
  </si>
  <si>
    <t>A</t>
  </si>
  <si>
    <t>C</t>
  </si>
  <si>
    <t xml:space="preserve">  provided</t>
  </si>
  <si>
    <t>Appliances</t>
  </si>
  <si>
    <t xml:space="preserve">  doors</t>
  </si>
  <si>
    <t>Windows and</t>
  </si>
  <si>
    <t>HVAC equipment</t>
  </si>
  <si>
    <t>Design and other</t>
  </si>
  <si>
    <t xml:space="preserve">  quality elements</t>
  </si>
  <si>
    <t>Parking area and/</t>
  </si>
  <si>
    <t>Site layout and</t>
  </si>
  <si>
    <t xml:space="preserve">  unit density</t>
  </si>
  <si>
    <t>PROJECT OWNER CERTIFICATIONS AND REPRESENTATIONS</t>
  </si>
  <si>
    <t xml:space="preserve">The owner has caused this document to be duly executed in its name on    </t>
  </si>
  <si>
    <t>Previous Olene Walker Housing Loan Fund Participation of General Partner and/or Applicant:</t>
  </si>
  <si>
    <t>List any direct or indirect financial or other interest a member of the development team may have with another member of the development team (enter "None" if there are no conflicts of interest):</t>
  </si>
  <si>
    <t>To qualify for the CHDO set-aside funds, a non-profit applicant must materially participate in the development and operation of the project throughout the compliance period (see Exhibit L in the Allocation Plan).  The following additional information must be provided:</t>
  </si>
  <si>
    <t>Articles of Incorporation or bylaws evidencing that the tax-exempt purposes of the applicant includes the provision of decent, affordable housing.</t>
  </si>
  <si>
    <t>Copy of the Internal Revenue Service determination letter as to applicant's status as a Internal Revenue Code Section 501(c) organization.</t>
  </si>
  <si>
    <t>Describe the CHDO's participation in the development and operation of the project.  List other activity or involvement in affordable-housing projects.  If allocation is made under the CHDO set-aside, the non-profit activity must be significant and have real benefit to the project and the population served.</t>
  </si>
  <si>
    <t>Other Related-Party Fees (Exhibit F-1)</t>
  </si>
  <si>
    <t>Other common area:</t>
  </si>
  <si>
    <t>Total area (sq ft):</t>
  </si>
  <si>
    <t>IN WITNESS WHEREOF,</t>
  </si>
  <si>
    <t>Owner Representative Name</t>
  </si>
  <si>
    <t>The undersigned, being duly authorized, hereby represents and certifies that the foregoing information, to the best of his/her knowledge, is true, complete and accurately describes the proposed project.</t>
  </si>
  <si>
    <t>Legal Name of Owner</t>
  </si>
  <si>
    <t>Signature</t>
  </si>
  <si>
    <r>
      <t xml:space="preserve">(based on initial review of plans/specifications or </t>
    </r>
    <r>
      <rPr>
        <u/>
        <sz val="8"/>
        <rFont val="Arial"/>
        <family val="2"/>
      </rPr>
      <t>before</t>
    </r>
    <r>
      <rPr>
        <sz val="8"/>
        <rFont val="Arial"/>
        <family val="2"/>
      </rPr>
      <t xml:space="preserve"> rehab)</t>
    </r>
  </si>
  <si>
    <r>
      <t xml:space="preserve">(estimated score </t>
    </r>
    <r>
      <rPr>
        <u/>
        <sz val="8"/>
        <rFont val="Arial"/>
        <family val="2"/>
      </rPr>
      <t>after</t>
    </r>
    <r>
      <rPr>
        <sz val="8"/>
        <rFont val="Arial"/>
        <family val="2"/>
      </rPr>
      <t xml:space="preserve"> completion w/energy improvements)</t>
    </r>
  </si>
  <si>
    <t>Legal Fees</t>
  </si>
  <si>
    <t>http://www.utahenergy.org</t>
  </si>
  <si>
    <t>Landscaping</t>
  </si>
  <si>
    <t>Daniel Herbert-Voss, Housing Program Specialist</t>
  </si>
  <si>
    <t>Email:  dhvoss@utah.gov</t>
  </si>
  <si>
    <t>MEDIAN</t>
  </si>
  <si>
    <t>VERY LOW INCOME - 50% AMI - INCOME BY HOUSEHOLD SIZE</t>
  </si>
  <si>
    <t>LOW INCOME - 80% AMI - INCOME BY HOUSEHOLD SIZE</t>
  </si>
  <si>
    <t>INCOME</t>
  </si>
  <si>
    <t># BR</t>
  </si>
  <si>
    <t>Basic - Elev</t>
  </si>
  <si>
    <t>Basic - Non-Elev</t>
  </si>
  <si>
    <t>BEAVER</t>
  </si>
  <si>
    <t>BOX ELDER</t>
  </si>
  <si>
    <t>CACHE</t>
  </si>
  <si>
    <t>CARBON</t>
  </si>
  <si>
    <t>DAGGETT</t>
  </si>
  <si>
    <t>4+</t>
  </si>
  <si>
    <t>DAVIS</t>
  </si>
  <si>
    <t>Effective</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</si>
  <si>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</si>
  <si>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</si>
  <si>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</si>
  <si>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</si>
  <si>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</si>
  <si>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</si>
  <si>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</si>
  <si>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</si>
  <si>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</si>
  <si>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</si>
  <si>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</si>
  <si>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</si>
  <si>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</si>
  <si>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</si>
  <si>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</si>
  <si>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</si>
  <si>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</si>
  <si>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</si>
  <si>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</si>
  <si>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</si>
  <si>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</si>
  <si>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</si>
  <si>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</si>
  <si>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This completed checklist has been created for your convenience and should accompany the application</t>
  </si>
  <si>
    <t>packet.  Remember that all scoring items must be supported by third-party documentation.</t>
  </si>
  <si>
    <t>Olene Walker Housing Loan Fund</t>
  </si>
  <si>
    <t>1.</t>
  </si>
  <si>
    <t>2.</t>
  </si>
  <si>
    <t>3.</t>
  </si>
  <si>
    <t>4.</t>
  </si>
  <si>
    <t>5.</t>
  </si>
  <si>
    <t>Substantial Rehabilitation:</t>
  </si>
  <si>
    <t>TOTAL OLENE WALKER HOUSING LOAN FUND SCORE (100 Maximum):</t>
  </si>
  <si>
    <t>New Capacity:</t>
  </si>
  <si>
    <t>(10 points)</t>
  </si>
  <si>
    <t>Replacement of 3 or more building systems</t>
  </si>
  <si>
    <t>If AMI is less than 30% - 15 points</t>
  </si>
  <si>
    <t>(Maximum 15 points)</t>
  </si>
  <si>
    <t>Unit Size:</t>
  </si>
  <si>
    <t>(Maximum 5 points)</t>
  </si>
  <si>
    <t>Plumbing</t>
  </si>
  <si>
    <t>Electrical</t>
  </si>
  <si>
    <t>Building System Replaced (see Allocation Plan for definitions)</t>
  </si>
  <si>
    <t>HVAC</t>
  </si>
  <si>
    <t>Structural/seismic</t>
  </si>
  <si>
    <t>Total number of systems replaced:</t>
  </si>
  <si>
    <t>6.</t>
  </si>
  <si>
    <t>Minimum Period of Affordability</t>
  </si>
  <si>
    <t>Per-Unit Cost</t>
  </si>
  <si>
    <t>Rehabilitation/Acquisition</t>
  </si>
  <si>
    <t>Under $15,000</t>
  </si>
  <si>
    <t>5 years</t>
  </si>
  <si>
    <t>$15,000 - $40,000</t>
  </si>
  <si>
    <t>Other PJ HOME Funds?</t>
  </si>
  <si>
    <t>Grants</t>
  </si>
  <si>
    <t>Utility and/or Other Rebates</t>
  </si>
  <si>
    <t>TOTAL SOURCES OF FUNDS</t>
  </si>
  <si>
    <t>of TDC</t>
  </si>
  <si>
    <t>% TDC</t>
  </si>
  <si>
    <t># of parking stalls/garages:</t>
  </si>
  <si>
    <t>Covered parking/garage</t>
  </si>
  <si>
    <t>Grant</t>
  </si>
  <si>
    <t>Full-Amort</t>
  </si>
  <si>
    <t>Source:  U.S. Census Bureau</t>
  </si>
  <si>
    <t>UT Population</t>
  </si>
  <si>
    <t>HUD ELI (30% AMI)</t>
  </si>
  <si>
    <t>Impact/Utility Connection Fees</t>
  </si>
  <si>
    <t>Owner Equity</t>
  </si>
  <si>
    <t>HOA</t>
  </si>
  <si>
    <t>Homeowner</t>
  </si>
  <si>
    <t>FHA Mortgage Limits</t>
  </si>
  <si>
    <t>INCOME TARGETING ANALYSIS</t>
  </si>
  <si>
    <t>Over $40,000</t>
  </si>
  <si>
    <t>10 years</t>
  </si>
  <si>
    <t>15 years</t>
  </si>
  <si>
    <t>20 years</t>
  </si>
  <si>
    <t>All New Construction</t>
  </si>
  <si>
    <t>Rehab/Acq w/Refinancing</t>
  </si>
  <si>
    <t>HOME/LIH Per-Unit Cost:</t>
  </si>
  <si>
    <t>Minimum Compliance Period:</t>
  </si>
  <si>
    <t>By % Cost</t>
  </si>
  <si>
    <t>ANNUAL DEBT SERVICE AND ASSISTED UNIT CALCULATION</t>
  </si>
  <si>
    <t>Calculation of Number of HOME/LIH-Assisted Units:</t>
  </si>
  <si>
    <t>7.</t>
  </si>
  <si>
    <t>8.</t>
  </si>
  <si>
    <t>9.</t>
  </si>
  <si>
    <t>10.</t>
  </si>
  <si>
    <t>12.</t>
  </si>
  <si>
    <t>13.</t>
  </si>
  <si>
    <t>Copy of Sellers' Disclosure Letter (acquisition of property only)</t>
  </si>
  <si>
    <t>Executive Summary</t>
  </si>
  <si>
    <t>Application Packet</t>
  </si>
  <si>
    <t>Electronic Application</t>
  </si>
  <si>
    <t>Organiz Documents</t>
  </si>
  <si>
    <t>Site Control</t>
  </si>
  <si>
    <t>501(c)(3), Bylaws, CHDO</t>
  </si>
  <si>
    <t>Resumes, Financials</t>
  </si>
  <si>
    <t>Utility Allowance</t>
  </si>
  <si>
    <t>Zoning, Permits</t>
  </si>
  <si>
    <t>Seller Disclosure</t>
  </si>
  <si>
    <t>Market Study</t>
  </si>
  <si>
    <t>Application Received:</t>
  </si>
  <si>
    <t>Date:</t>
  </si>
  <si>
    <t>Time:</t>
  </si>
  <si>
    <t>By:</t>
  </si>
  <si>
    <t>Date of Application:</t>
  </si>
  <si>
    <t>Application Type:</t>
  </si>
  <si>
    <t>Initial</t>
  </si>
  <si>
    <t>Resubmitted</t>
  </si>
  <si>
    <t>Project Name and Address:</t>
  </si>
  <si>
    <t>Name</t>
  </si>
  <si>
    <t>Address</t>
  </si>
  <si>
    <t>City</t>
  </si>
  <si>
    <t>State</t>
  </si>
  <si>
    <t>Utah</t>
  </si>
  <si>
    <t>ZIP</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</si>
  <si>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</si>
  <si>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</si>
  <si>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</si>
  <si>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</si>
  <si>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</si>
  <si>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</si>
  <si>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</si>
  <si>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</si>
  <si>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</si>
  <si>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</si>
  <si>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</si>
  <si>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</si>
  <si>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</si>
  <si>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</si>
  <si>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</si>
  <si>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</si>
  <si>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</si>
  <si>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</si>
  <si>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</si>
  <si>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</si>
  <si>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</si>
  <si>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</si>
  <si>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</si>
  <si>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</si>
  <si>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</si>
  <si>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Wasatch</t>
  </si>
  <si>
    <t>Washington</t>
  </si>
  <si>
    <t>Wayne</t>
  </si>
  <si>
    <t>Weber</t>
  </si>
  <si>
    <t>Select</t>
  </si>
  <si>
    <t>ALL INFORMATION MUST BE COMPLETE OR APPLICATION WILL BE REJECTED</t>
  </si>
  <si>
    <t>If resubmitted, when original was submitted:</t>
  </si>
  <si>
    <t>N/A</t>
  </si>
  <si>
    <t>Census Tract</t>
  </si>
  <si>
    <t>http://www.ffiec.gov/geocode/default.htm</t>
  </si>
  <si>
    <t>(use this website to find census tract by following instructions)</t>
  </si>
  <si>
    <t>Project located in a Metropolitan Statistical Area (MSA)?</t>
  </si>
  <si>
    <t>Project located in a HUD Hard-To-Develop Area?</t>
  </si>
  <si>
    <t>Federal Congressional District</t>
  </si>
  <si>
    <t>State Senate District</t>
  </si>
  <si>
    <t>State House District</t>
  </si>
  <si>
    <t>http://www.utahsenate.org/perl/distmapal.pl</t>
  </si>
  <si>
    <t>State Senate Website</t>
  </si>
  <si>
    <t>State House Website</t>
  </si>
  <si>
    <t>http://www.le.utah.gov/house/DistrictInfo/NewMaps/State.htm</t>
  </si>
  <si>
    <t>http://www.visi.com/juan/congress/</t>
  </si>
  <si>
    <t>MSA?</t>
  </si>
  <si>
    <t>No</t>
  </si>
  <si>
    <t>Yes</t>
  </si>
  <si>
    <t>U.S. Congressional Website</t>
  </si>
  <si>
    <t xml:space="preserve">  (no DDA's in Utah presently)</t>
  </si>
  <si>
    <t>Other Federal Programs:</t>
  </si>
  <si>
    <t>USDA-RD</t>
  </si>
  <si>
    <t>HUD</t>
  </si>
  <si>
    <t>Not Applicable</t>
  </si>
  <si>
    <t>1.  General Requirements:</t>
  </si>
  <si>
    <t>2.  On-Site Work:</t>
  </si>
  <si>
    <t>3.  Off-Site Work:</t>
  </si>
  <si>
    <t>4.  Concrete:</t>
  </si>
  <si>
    <t>5.  Masonry:</t>
  </si>
  <si>
    <t>6.  Metals:</t>
  </si>
  <si>
    <t>7.  Wood:</t>
  </si>
  <si>
    <t>8.  Thermal/Moisture Protection:</t>
  </si>
  <si>
    <t>9.  Doors and Windows:</t>
  </si>
  <si>
    <t>10.  Finishes:</t>
  </si>
  <si>
    <t>11.  Specialties:</t>
  </si>
  <si>
    <t>12.  Equipment:</t>
  </si>
  <si>
    <t>13.  Furnishings:</t>
  </si>
  <si>
    <t>14.  Conveyance Systems:</t>
  </si>
  <si>
    <t>15.  HVAC, Plumbing, Other Mechanical:</t>
  </si>
  <si>
    <t>16.  Electrical and Wiring:</t>
  </si>
  <si>
    <t>17.  Municipal and Utility Fees:</t>
  </si>
  <si>
    <t>18.  Builder Profit and Overhead:</t>
  </si>
  <si>
    <t>Estimated HERS Final Score:</t>
  </si>
  <si>
    <t>(enter sq ft of common area)</t>
  </si>
  <si>
    <t>Has the construction package been submitted to the lender?</t>
  </si>
  <si>
    <t>For projects of 3 stories or fewer only:</t>
  </si>
  <si>
    <t>http://www.thermwise.com/</t>
  </si>
  <si>
    <t>http://www.rockymountainpower.net</t>
  </si>
  <si>
    <t>PROJECT VALUATION, CONSTRUCTION COSTS, CAPITAL NEEDS ASSESSMENT</t>
  </si>
  <si>
    <t>Single Family Home Ownership</t>
  </si>
  <si>
    <t>Maximum Subsidy</t>
  </si>
  <si>
    <t>Subsidy Limit</t>
  </si>
  <si>
    <t>Allowable Subsidy</t>
  </si>
  <si>
    <t># LI Units</t>
  </si>
  <si>
    <t># Mkt Units</t>
  </si>
  <si>
    <t>Purchase Price</t>
  </si>
  <si>
    <t>Total LI Purchase Price</t>
  </si>
  <si>
    <t>Total LI Unit Square Footage</t>
  </si>
  <si>
    <t>Total Mkt Purchase Price</t>
  </si>
  <si>
    <t>Total Mkt Unit Square Footage</t>
  </si>
  <si>
    <t>Total Purchase Price of All Units</t>
  </si>
  <si>
    <t>Total Unit Square Footage</t>
  </si>
  <si>
    <t>UNIT TARGETING ANALYSIS</t>
  </si>
  <si>
    <t>Income Limits:</t>
  </si>
  <si>
    <t>Family Size</t>
  </si>
  <si>
    <t>HUD MI (120% AMI)</t>
  </si>
  <si>
    <t>Low HOME (50% AMI)</t>
  </si>
  <si>
    <t>High HOME (80% AMI)</t>
  </si>
  <si>
    <t>Other Funds Needed</t>
  </si>
  <si>
    <t>Aggregate AMI Targeting:</t>
  </si>
  <si>
    <t>AMI</t>
  </si>
  <si>
    <t>APR</t>
  </si>
  <si>
    <t>Years</t>
  </si>
  <si>
    <t>Monthly Payment as Percentage of Monthly Income</t>
  </si>
  <si>
    <t>% AMI</t>
  </si>
  <si>
    <t>Applicable Utility Allowance</t>
  </si>
  <si>
    <t>4.  This application is set up to provide error messages if limits are exceeded or if there is a gap between funding sources and project expenditures:</t>
  </si>
  <si>
    <t>Elevator?</t>
  </si>
  <si>
    <t>Subsidy Limit By Number of Bedrooms/Units</t>
  </si>
  <si>
    <t># Bedrooms</t>
  </si>
  <si>
    <t>5.  Entry of text in some cases will be in formatted boxes that will automatically adjust and align text to avoid the need to go back and format the text so that it will fit in the space provided.</t>
  </si>
  <si>
    <t>Housing being acquired by a family must meet the affordability requirements.  The housing must be single family units, and must be modest in nature and not exceed 95% of the median purchase price for the area as described by HUD under the single family mortgage limits.  Sales data must reflect all, or nearly all, of the single family home sales within the area.  Minimum subsidy is $1,000 multiplied by the number of assisted homes.</t>
  </si>
  <si>
    <t>Certification that all profits and fees are reported and that there are no undisclosed "related party" transactions (submit Exhibit F-2).</t>
  </si>
  <si>
    <t>Market/unencumbered rent value "as is"</t>
  </si>
  <si>
    <t>Restricted/encumbered rent value "as is"</t>
  </si>
  <si>
    <t>After completion</t>
  </si>
  <si>
    <t>Value of property as documented:</t>
  </si>
  <si>
    <t>Market/unencumbered rent value after stabilization</t>
  </si>
  <si>
    <t>Restricted/encumbered rent value after stabilitation</t>
  </si>
  <si>
    <t>Total Capital Needs Assessment Estimate:</t>
  </si>
  <si>
    <t>New Construction HUD Financing</t>
  </si>
  <si>
    <t>Acq/Rehab with HUD Financing</t>
  </si>
  <si>
    <t>Acq/Rehab without HUD Financing</t>
  </si>
  <si>
    <t>Rehab with HUD Financing</t>
  </si>
  <si>
    <t>Rehab without HUD Financing</t>
  </si>
  <si>
    <t>Total HOME/LIH Initial and Extended-Use Period:</t>
  </si>
  <si>
    <t xml:space="preserve">  (application will auto-calculate)</t>
  </si>
  <si>
    <t xml:space="preserve">  AMI</t>
  </si>
  <si>
    <t>Aggregate Area Median Income Served:</t>
  </si>
  <si>
    <t>PROJECT INFORMATION</t>
  </si>
  <si>
    <t>New Construction</t>
  </si>
  <si>
    <t>Acquisition Only</t>
  </si>
  <si>
    <t>Acquisition/Rehabilitation</t>
  </si>
  <si>
    <t>Rehabilitation Only</t>
  </si>
  <si>
    <t>Project Scope/Type:</t>
  </si>
  <si>
    <t>Select One</t>
  </si>
  <si>
    <t>ORGANIZATIONAL INFORMATION</t>
  </si>
  <si>
    <t>Applicant Type</t>
  </si>
  <si>
    <t>For-Profit</t>
  </si>
  <si>
    <t>Non-Profit</t>
  </si>
  <si>
    <t>CHDO</t>
  </si>
  <si>
    <t>Gov't Hsg Entity</t>
  </si>
  <si>
    <r>
      <t xml:space="preserve">Applicant Information - </t>
    </r>
    <r>
      <rPr>
        <sz val="10"/>
        <rFont val="Arial"/>
        <family val="2"/>
      </rPr>
      <t>General Partner or Sponsor of Project</t>
    </r>
  </si>
  <si>
    <t>Contact Person</t>
  </si>
  <si>
    <t>Title</t>
  </si>
  <si>
    <t>a</t>
  </si>
  <si>
    <t>Limited Liability Corp</t>
  </si>
  <si>
    <t>Limited Partnership</t>
  </si>
  <si>
    <t>Corporation</t>
  </si>
  <si>
    <t>Non-Profit Corp</t>
  </si>
  <si>
    <t>Sole Proprietor</t>
  </si>
  <si>
    <t>Partnership</t>
  </si>
  <si>
    <t>Phone</t>
  </si>
  <si>
    <t>Email</t>
  </si>
  <si>
    <t>Fax</t>
  </si>
  <si>
    <t>Cell</t>
  </si>
  <si>
    <r>
      <t xml:space="preserve">Project Owner Information - </t>
    </r>
    <r>
      <rPr>
        <sz val="10"/>
        <rFont val="Arial"/>
        <family val="2"/>
      </rPr>
      <t>Limited Partner or Operator of Project</t>
    </r>
  </si>
  <si>
    <t>Federal ID</t>
  </si>
  <si>
    <t>Date Formed</t>
  </si>
  <si>
    <t>Signatory</t>
  </si>
  <si>
    <t>General Partner(s) and/or Officers:</t>
  </si>
  <si>
    <t>Name(s):</t>
  </si>
  <si>
    <t>Phone(s):</t>
  </si>
  <si>
    <t>% Ownership:</t>
  </si>
  <si>
    <t>Project Name:</t>
  </si>
  <si>
    <t>City:</t>
  </si>
  <si>
    <t>Project Status:</t>
  </si>
  <si>
    <t>Under Construction</t>
  </si>
  <si>
    <t>Awarded</t>
  </si>
  <si>
    <t>Completed</t>
  </si>
  <si>
    <t>ORGANIZATIONAL INFORMATION (Continued)</t>
  </si>
  <si>
    <t>Developer</t>
  </si>
  <si>
    <t>General Partner</t>
  </si>
  <si>
    <t>Contractor</t>
  </si>
  <si>
    <t>Management Co</t>
  </si>
  <si>
    <t>Sponsoring Org</t>
  </si>
  <si>
    <t>Consultant</t>
  </si>
  <si>
    <t>Tax Attorney</t>
  </si>
  <si>
    <t>Tax Accountant</t>
  </si>
  <si>
    <t>Are any of the development team members on HUD's Debarment List?</t>
  </si>
  <si>
    <t>Development Team Information (Name/Company/Address):</t>
  </si>
  <si>
    <t>Community Housing Development Organization ("CHDO") Information (if applicable):</t>
  </si>
  <si>
    <t xml:space="preserve">  501(c)(3) organization</t>
  </si>
  <si>
    <t xml:space="preserve">  Exempt from tax under</t>
  </si>
  <si>
    <t xml:space="preserve">  Section 501(a)</t>
  </si>
  <si>
    <t xml:space="preserve">  501(c)(4) Organization</t>
  </si>
  <si>
    <t xml:space="preserve">  Tax-Exempt Government Agency</t>
  </si>
  <si>
    <t xml:space="preserve">  Other - </t>
  </si>
  <si>
    <t xml:space="preserve">  Exempt purposes include provision of</t>
  </si>
  <si>
    <t xml:space="preserve">  decent, affordable housing</t>
  </si>
  <si>
    <t>NOTIFICATION OF LOCAL OFFICIALS</t>
  </si>
  <si>
    <t>Name of Political Jurisdiction</t>
  </si>
  <si>
    <t>Name of Mayor</t>
  </si>
  <si>
    <t>Name of Chief Administrative Officer</t>
  </si>
  <si>
    <t>Salt Lake City</t>
  </si>
  <si>
    <t>Name of Zoning Official</t>
  </si>
  <si>
    <t>E-Mail</t>
  </si>
  <si>
    <t>Project Characteristics:</t>
  </si>
  <si>
    <t>Elevator</t>
  </si>
  <si>
    <t>Number of floors (not including basement/garage)</t>
  </si>
  <si>
    <t>Building type</t>
  </si>
  <si>
    <t>Single family detached</t>
  </si>
  <si>
    <t>Other (specify)</t>
  </si>
  <si>
    <t>if "other" -</t>
  </si>
  <si>
    <t>Zone</t>
  </si>
  <si>
    <t>Multiplier</t>
  </si>
  <si>
    <t>I</t>
  </si>
  <si>
    <t>II</t>
  </si>
  <si>
    <t>III</t>
  </si>
  <si>
    <t>Select one</t>
  </si>
  <si>
    <t>Number of buildings</t>
  </si>
  <si>
    <t>Infill w/o utility extensions</t>
  </si>
  <si>
    <t>Not infill</t>
  </si>
  <si>
    <t>N/A - acquisition/rehab</t>
  </si>
  <si>
    <t>11.</t>
  </si>
  <si>
    <t>Related Party</t>
  </si>
  <si>
    <t>Family</t>
  </si>
  <si>
    <t>Special Needs</t>
  </si>
  <si>
    <t>Elderly (55+)</t>
  </si>
  <si>
    <t>Elderly (62+)</t>
  </si>
  <si>
    <t>SRO</t>
  </si>
  <si>
    <t>Type of construction</t>
  </si>
  <si>
    <t xml:space="preserve">If new construction - </t>
  </si>
  <si>
    <t>New construction</t>
  </si>
  <si>
    <t>Acquisition only</t>
  </si>
  <si>
    <t>Acquisition/rehabilitation</t>
  </si>
  <si>
    <t>Rehabilitation only</t>
  </si>
  <si>
    <t>Project type</t>
  </si>
  <si>
    <t>Assisted living</t>
  </si>
  <si>
    <t>If assisted living:</t>
  </si>
  <si>
    <t>Population type</t>
  </si>
  <si>
    <t>License type</t>
  </si>
  <si>
    <t>Type of units</t>
  </si>
  <si>
    <t>Select one:</t>
  </si>
  <si>
    <t>Large family (3BR or more)</t>
  </si>
  <si>
    <t>Battered family transitional</t>
  </si>
  <si>
    <t>Workforce housing</t>
  </si>
  <si>
    <t>HOPWA</t>
  </si>
  <si>
    <t>Developmentally disabled</t>
  </si>
  <si>
    <t>Chronically mentally ill</t>
  </si>
  <si>
    <t># Units:</t>
  </si>
  <si>
    <t>Additional Set-Aside Units:</t>
  </si>
  <si>
    <t>Homeless/near homeless (not McKinney)</t>
  </si>
  <si>
    <t>Fully-accessible Type A physical-handicap units</t>
  </si>
  <si>
    <t>Adaptable Type B physical-handicap units</t>
  </si>
  <si>
    <t>(Architectural requirements for ADA units are discussed in the Allocation Plan)</t>
  </si>
  <si>
    <t>Project has entered into a Memorandum of Understanding with the local Public</t>
  </si>
  <si>
    <t>Housing Authority to accept qualified Section 8 tenants</t>
  </si>
  <si>
    <t>Project Amenities:</t>
  </si>
  <si>
    <t>Common area building(s):</t>
  </si>
  <si>
    <t>Playground</t>
  </si>
  <si>
    <t>Community Facility</t>
  </si>
  <si>
    <t>Daycare</t>
  </si>
  <si>
    <t>Air conditioning</t>
  </si>
  <si>
    <t>Internet connections</t>
  </si>
  <si>
    <t>Education</t>
  </si>
  <si>
    <t>Vented bathroom (required)</t>
  </si>
  <si>
    <t>Vented range hood</t>
  </si>
  <si>
    <t>Laundry hookups</t>
  </si>
  <si>
    <t>Life skills training</t>
  </si>
  <si>
    <t>Other -</t>
  </si>
  <si>
    <t>Total floor square ft:</t>
  </si>
  <si>
    <t>Residential square ft:</t>
  </si>
  <si>
    <t>Commercial area square ft:</t>
  </si>
  <si>
    <t>Building common area sq ft:</t>
  </si>
  <si>
    <t>Does zoning permit residential use consistent with the proposed project?</t>
  </si>
  <si>
    <t>OWHLF Request:</t>
  </si>
  <si>
    <t>Maximum OWHLF Subsidy:</t>
  </si>
  <si>
    <t>Is project in a Rocky Mountain Power service area?</t>
  </si>
  <si>
    <t>Is project in a Questar Gas service area?</t>
  </si>
  <si>
    <t>SITE INFORMATION</t>
  </si>
  <si>
    <t>Is there a current appraisal for the site?</t>
  </si>
  <si>
    <t>Is a complete comprehensive market study attached?</t>
  </si>
  <si>
    <t>Lender/Investor has determined that study is not needed</t>
  </si>
  <si>
    <t>Phase I or II and/or habitat study required, but not completed</t>
  </si>
  <si>
    <t>Phase I or II and/or habitat study completed with no outstanding issues</t>
  </si>
  <si>
    <t>Phase I or II and/or habitat study completed with outstanding issues</t>
  </si>
  <si>
    <t>High Cost Multiplier:</t>
  </si>
  <si>
    <t>County:</t>
  </si>
  <si>
    <t>If rehabilitation of existing project, is the required Capital Needs Assessment attached?</t>
  </si>
  <si>
    <t>Totals</t>
  </si>
  <si>
    <t>County Population (2008):</t>
  </si>
  <si>
    <t>If AMI is 30.00%-34.99% - 13 points</t>
  </si>
  <si>
    <t>If AMI is 35.00%-39.99% - 11 points</t>
  </si>
  <si>
    <t>If AMI is 40.00%-44.99% - 9 points</t>
  </si>
  <si>
    <t>If AMI is 45.00%-49.99% - 7 points</t>
  </si>
  <si>
    <t>If AMI is 50.00% or greater - 0 points</t>
  </si>
  <si>
    <t>All Other Soft Costs Listed in Application</t>
  </si>
  <si>
    <t>Second Mortgage</t>
  </si>
  <si>
    <t>Type of project scope of construction:</t>
  </si>
  <si>
    <t>Total number of existing units:</t>
  </si>
  <si>
    <t>Total number of new units added:</t>
  </si>
  <si>
    <t>or new units are added to an existing affordable-housing project:</t>
  </si>
  <si>
    <t>Scoring based on the total number of affordable-housing units and whether new capacity is created</t>
  </si>
  <si>
    <t>Is there a current title report for the site?</t>
  </si>
  <si>
    <t>Site Control and Related Study(ies):</t>
  </si>
  <si>
    <t>Are all parcels for proposed site under control?</t>
  </si>
  <si>
    <t>If "Yes", what form:</t>
  </si>
  <si>
    <t>Site Ownership:</t>
  </si>
  <si>
    <t>Will land be contributed by owner?</t>
  </si>
  <si>
    <t>Has owner held title to land longer than 10 years?</t>
  </si>
  <si>
    <t>When was land purchased:</t>
  </si>
  <si>
    <t>Contract</t>
  </si>
  <si>
    <t>Agreement</t>
  </si>
  <si>
    <t>Deed</t>
  </si>
  <si>
    <t>Expiration date:</t>
  </si>
  <si>
    <t>(year)</t>
  </si>
  <si>
    <t>Cost of Land:</t>
  </si>
  <si>
    <t>Site Area:</t>
  </si>
  <si>
    <t>acres</t>
  </si>
  <si>
    <t>sq feet</t>
  </si>
  <si>
    <t>Name of Seller</t>
  </si>
  <si>
    <t xml:space="preserve">City </t>
  </si>
  <si>
    <t xml:space="preserve">Address </t>
  </si>
  <si>
    <t xml:space="preserve">State </t>
  </si>
  <si>
    <t xml:space="preserve">ZIP </t>
  </si>
  <si>
    <t>Zoning Status:</t>
  </si>
  <si>
    <t>Has final density been approved?</t>
  </si>
  <si>
    <t>Units per acre:</t>
  </si>
  <si>
    <t>Has project been approved by all applicable public organizations?</t>
  </si>
  <si>
    <t>Project is fully entitled and all approvals obtained, and permits can be issued.</t>
  </si>
  <si>
    <t>Construction has commenced.</t>
  </si>
  <si>
    <t>Parking requirements - number of stalls approved per unit:</t>
  </si>
  <si>
    <t>If there is more than one parcel, are all parcels properly zoned?</t>
  </si>
  <si>
    <t>Are all utilities presently available on the site?</t>
  </si>
  <si>
    <t>If "No", please explain which utilities need to be brought on site, distance, and estimated cost:</t>
  </si>
  <si>
    <t>If the project requires road infrastructure to be built, specify the distance, specifications, and estimated cost:</t>
  </si>
  <si>
    <t>SITE INFORMATION (Continued)</t>
  </si>
  <si>
    <t>Acquisition of Existing Buildings:</t>
  </si>
  <si>
    <t>How many buildings will be acquired for the project?</t>
  </si>
  <si>
    <t>Are all of the buildings currently under control for the project?</t>
  </si>
  <si>
    <t>If "No", how many of the buildings are currently under control?</t>
  </si>
  <si>
    <t>Is an appraisal enclosed with this application?</t>
  </si>
  <si>
    <t>Not applicable</t>
  </si>
  <si>
    <t>Amortization Schedule - Other PJ HOME Loan</t>
  </si>
  <si>
    <t>Eff Date</t>
  </si>
  <si>
    <t>years</t>
  </si>
  <si>
    <t>If project has multiple buildings, please list those under control:</t>
  </si>
  <si>
    <t>Bldg ID Number or Address</t>
  </si>
  <si>
    <t>Type of Control</t>
  </si>
  <si>
    <t># Units</t>
  </si>
  <si>
    <t>Acquisition Cost</t>
  </si>
  <si>
    <t>Provide the following information regarding the acquisition of building(s) for this project:</t>
  </si>
  <si>
    <t>Unrelated Party</t>
  </si>
  <si>
    <t>N/A (no building acquisition)</t>
  </si>
  <si>
    <t>Building(s) acquired or to be acquired from:</t>
  </si>
  <si>
    <t>Relocation of Existing Residents:</t>
  </si>
  <si>
    <t>Does this project involve any relocation of tenants?</t>
  </si>
  <si>
    <t>If "Yes", please describe the proposed relocation assistance:</t>
  </si>
  <si>
    <t>Is a current rent roll provided with this application?</t>
  </si>
  <si>
    <t>Reasonable Construction Supervision</t>
  </si>
  <si>
    <t>Site Engineering Costs (Attributable to Buildings )</t>
  </si>
  <si>
    <t>Temporary Job Office Expenses</t>
  </si>
  <si>
    <t>On-Site Temporary Buildings (tool sheds, shops, toilets)</t>
  </si>
  <si>
    <t>Temporary Utilities</t>
  </si>
  <si>
    <t>Temporary Walkways, Fencing, Roads, Etc.</t>
  </si>
  <si>
    <t>Construction Equipment Rental (not included in trade item costs)</t>
  </si>
  <si>
    <t>Rough Framing Material</t>
  </si>
  <si>
    <t>Rough Framing Labor</t>
  </si>
  <si>
    <t>Cabinetry Labor and Materials</t>
  </si>
  <si>
    <t>Window Coverings/Blinds/Mirrors/Hardware</t>
  </si>
  <si>
    <t>Fire Sprinkler Labor &amp; Materials</t>
  </si>
  <si>
    <t>CONSTRUCTION WORK - HARD COSTS</t>
  </si>
  <si>
    <t>CONSTRUCTION WORK - SOFT COSTS</t>
  </si>
  <si>
    <t>OTHER SOFT COSTS</t>
  </si>
  <si>
    <t>Salt Lake County</t>
  </si>
  <si>
    <r>
      <t xml:space="preserve">(round </t>
    </r>
    <r>
      <rPr>
        <b/>
        <sz val="8"/>
        <rFont val="Arial"/>
        <family val="2"/>
      </rPr>
      <t>up</t>
    </r>
    <r>
      <rPr>
        <sz val="8"/>
        <rFont val="Arial"/>
        <family val="2"/>
      </rPr>
      <t>)</t>
    </r>
  </si>
  <si>
    <r>
      <t xml:space="preserve">(round up - </t>
    </r>
    <r>
      <rPr>
        <b/>
        <sz val="8"/>
        <rFont val="Arial"/>
        <family val="2"/>
      </rPr>
      <t>higher</t>
    </r>
    <r>
      <rPr>
        <sz val="8"/>
        <rFont val="Arial"/>
        <family val="2"/>
      </rPr>
      <t xml:space="preserve"> of the two)</t>
    </r>
  </si>
  <si>
    <t>Clean-up/Disposal/Recycling of Construction Debris</t>
  </si>
  <si>
    <t>Security Costs</t>
  </si>
  <si>
    <t>Medical/First Aid Supplies &amp; Facility</t>
  </si>
  <si>
    <t xml:space="preserve">Other - </t>
  </si>
  <si>
    <t>EQUIPMENT AND UTILITY ALLOWANCE CALCULATION</t>
  </si>
  <si>
    <t>3.  The check boxes from the previous application have been eliminated, and in their place are simple drop-down lists within the cells where you click on the cell to activate the list feature - there will be a small downward-pointing arrow on the right side of the cell that you can use to make your list selection.  Some of the lists included are those where you can simply select "Yes" or "No", the county your project is located in ("Salt Lake", "Weber", "Uintah", etc.), the type of project ("New Construction", "Acquisition/Rehabilitation", etc.), and other applicable information.</t>
  </si>
  <si>
    <t>Demolition</t>
  </si>
  <si>
    <t>Site Preparation</t>
  </si>
  <si>
    <t>Earthwork</t>
  </si>
  <si>
    <t>Paving and other Surfacing</t>
  </si>
  <si>
    <t>Landscape Fencing</t>
  </si>
  <si>
    <t>Trash Enclosures</t>
  </si>
  <si>
    <t>Site Signage</t>
  </si>
  <si>
    <t>Storm Drainage</t>
  </si>
  <si>
    <t>Sidewalks, Curbing, Parking Bollards</t>
  </si>
  <si>
    <t>Off-Site Improvements</t>
  </si>
  <si>
    <t>Excavation</t>
  </si>
  <si>
    <t>Footings/Foundations, Labor, and Materials</t>
  </si>
  <si>
    <t>Slab on Grade</t>
  </si>
  <si>
    <t>ADA Ramps, Sidewalks</t>
  </si>
  <si>
    <t>Masonry, Labor, and Materials</t>
  </si>
  <si>
    <t>Retaining Walls</t>
  </si>
  <si>
    <t>Total:</t>
  </si>
  <si>
    <t>Budgeted Amounts:</t>
  </si>
  <si>
    <t>Description of Construction Category:</t>
  </si>
  <si>
    <t>Steel Joists, Studs, Framing</t>
  </si>
  <si>
    <t>Carports</t>
  </si>
  <si>
    <t>Finish Material</t>
  </si>
  <si>
    <t>Finish Labor</t>
  </si>
  <si>
    <t>Manufactured Trusses/Floor Joists</t>
  </si>
  <si>
    <t>Soffit &amp; Fascia</t>
  </si>
  <si>
    <t>Gutter/Downspout Labor &amp; Materials</t>
  </si>
  <si>
    <t>Insulation Labor &amp; Materials</t>
  </si>
  <si>
    <t>Roofing Labor &amp; Materials</t>
  </si>
  <si>
    <t>Siding Labor &amp; Materials</t>
  </si>
  <si>
    <t>Stucco Labor &amp; Materials</t>
  </si>
  <si>
    <t>Other Waterproofing</t>
  </si>
  <si>
    <t>Miscellaneous Thermal/Moisture Protection</t>
  </si>
  <si>
    <t>Steel Doors/Frames and Labor</t>
  </si>
  <si>
    <t>Wood Doors/Frames and Labor</t>
  </si>
  <si>
    <t>A Capital Needs Assessment ("CNA") is required for all rehabilitation projects.</t>
  </si>
  <si>
    <t>CNA</t>
  </si>
  <si>
    <r>
      <t xml:space="preserve">(if more than 10 projects, list just the </t>
    </r>
    <r>
      <rPr>
        <b/>
        <sz val="10"/>
        <rFont val="Arial"/>
        <family val="2"/>
      </rPr>
      <t>ten most recent</t>
    </r>
    <r>
      <rPr>
        <sz val="10"/>
        <rFont val="Arial"/>
        <family val="2"/>
      </rPr>
      <t xml:space="preserve"> projects)</t>
    </r>
  </si>
  <si>
    <t>Effective Date of Utility Allowance</t>
  </si>
  <si>
    <t>On-Site Work (less demolition)</t>
  </si>
  <si>
    <t>LAND AND BUILDINGS, SITE WORK</t>
  </si>
  <si>
    <t>Total Hard Construction &amp; Site Costs:</t>
  </si>
  <si>
    <t>This section applicable to rehabilitation or acquisition/rehabilitation projects only:</t>
  </si>
  <si>
    <t>With or Without Other Federal Financing</t>
  </si>
  <si>
    <t>Other PJ HOME-Assisted Units:</t>
  </si>
  <si>
    <t>By 221(d)(3) Limits</t>
  </si>
  <si>
    <t>Total other PJ</t>
  </si>
  <si>
    <t>Total Federal HOME-Assisted Units</t>
  </si>
  <si>
    <t>Other PJ</t>
  </si>
  <si>
    <t>Other Funds</t>
  </si>
  <si>
    <t>Windows Labor &amp; Materials</t>
  </si>
  <si>
    <t>Garage Door Labor &amp; Materials</t>
  </si>
  <si>
    <t>Drywall/Plaster Labor &amp; Materials</t>
  </si>
  <si>
    <t>Ceramic Tile Labor &amp; Materials</t>
  </si>
  <si>
    <t>% HCC</t>
  </si>
  <si>
    <t>Paint/Wallcovering Labor &amp; Materials</t>
  </si>
  <si>
    <t>Carpet Labor &amp; Materials</t>
  </si>
  <si>
    <t>Vinyl Flooring/Tile Labor &amp; Materials</t>
  </si>
  <si>
    <t>Signage</t>
  </si>
  <si>
    <t>Fire Extinguishers</t>
  </si>
  <si>
    <t>Bathroom Fixtures</t>
  </si>
  <si>
    <t>Kitchen Appliances</t>
  </si>
  <si>
    <t>Countertop Labor &amp; Materials</t>
  </si>
  <si>
    <t>Elevator Systems</t>
  </si>
  <si>
    <t>Heating/Cooling Labor &amp; Materials</t>
  </si>
  <si>
    <t>Plumbing Labor &amp; Materials</t>
  </si>
  <si>
    <t>Electrical Labor &amp; Materials</t>
  </si>
  <si>
    <t>Water Heater Labor &amp; Materials</t>
  </si>
  <si>
    <t>Swimming Pool Labor &amp; Materials</t>
  </si>
  <si>
    <t>Light Fixture Labor &amp; Materials</t>
  </si>
  <si>
    <t>Fire Detection/Smoke Alarm Systems Labor &amp; Material</t>
  </si>
  <si>
    <t>Security System Labor &amp; Materials</t>
  </si>
  <si>
    <t>Impact Fees</t>
  </si>
  <si>
    <t>Building Permit(s)</t>
  </si>
  <si>
    <t>Utility Connection Fees</t>
  </si>
  <si>
    <t>Builder Profit</t>
  </si>
  <si>
    <t>Builder Overhead</t>
  </si>
  <si>
    <t>Construction Contingency</t>
  </si>
  <si>
    <t>Land</t>
  </si>
  <si>
    <t>Existing Building(s)</t>
  </si>
  <si>
    <t>Building Acquisition Fee</t>
  </si>
  <si>
    <t>Off-Site Work</t>
  </si>
  <si>
    <t>General Requirements</t>
  </si>
  <si>
    <t>Concrete</t>
  </si>
  <si>
    <t>Masonry</t>
  </si>
  <si>
    <t>Metals</t>
  </si>
  <si>
    <t>Enterprise Foundation's "Green Communities"</t>
  </si>
  <si>
    <t>LEED's "Silver" or higher rating</t>
  </si>
  <si>
    <t>RCAC's "Green Checklist" (Mid-Green or higher)</t>
  </si>
  <si>
    <t>Wood</t>
  </si>
  <si>
    <t>Thermal/Moisture Protection</t>
  </si>
  <si>
    <t>Finishes</t>
  </si>
  <si>
    <t>Specialties</t>
  </si>
  <si>
    <t>Equipment</t>
  </si>
  <si>
    <t>Furnishings</t>
  </si>
  <si>
    <t>Elevator/Conveyance</t>
  </si>
  <si>
    <t>HVAC, Plumbing, Mechanical</t>
  </si>
  <si>
    <t>Total Units</t>
  </si>
  <si>
    <t>Per Sq Ft</t>
  </si>
  <si>
    <t>DEVELOPMENT PROFORMA - OPERATING ASSUMPTIONS AS OUTLINED IN APPLICATION</t>
  </si>
  <si>
    <t>Electrical and Wiring</t>
  </si>
  <si>
    <t>Municipal and Building Permit Fees</t>
  </si>
  <si>
    <t>ARCHITECTURAL AND ENGINEERING</t>
  </si>
  <si>
    <t>Architect Fees (Design &amp; Supervision)</t>
  </si>
  <si>
    <t>Civil Engineering</t>
  </si>
  <si>
    <t>Phase I Environmental Study</t>
  </si>
  <si>
    <t>Summary Category:</t>
  </si>
  <si>
    <t>PROFIT AND OVERHEAD</t>
  </si>
  <si>
    <t>Developer Fee</t>
  </si>
  <si>
    <t>Developer Overhead</t>
  </si>
  <si>
    <t>Construction Insurance</t>
  </si>
  <si>
    <t>Construction Loan Interest</t>
  </si>
  <si>
    <t>Construction Loan Fees</t>
  </si>
  <si>
    <t>Construction Appraisal</t>
  </si>
  <si>
    <t>Construction Legal Fees</t>
  </si>
  <si>
    <t>Closing, Title, Recording</t>
  </si>
  <si>
    <t>Permanent Loan Origination Fee</t>
  </si>
  <si>
    <t>Permanent Financing Legal Fees</t>
  </si>
  <si>
    <t>Consulting Fees</t>
  </si>
  <si>
    <t>Other Environmental Study</t>
  </si>
  <si>
    <t>Marketing Expenses</t>
  </si>
  <si>
    <t>TOTAL PROJECT COST</t>
  </si>
  <si>
    <t>SOURCES OF FUNDS</t>
  </si>
  <si>
    <t>CONSTRUCTION FINANCING</t>
  </si>
  <si>
    <t>Amount of Funds</t>
  </si>
  <si>
    <t>Name/Phone of Contact Person</t>
  </si>
  <si>
    <t>Total Funds for Construction</t>
  </si>
  <si>
    <t>Financing Source</t>
  </si>
  <si>
    <t>Interest Rate</t>
  </si>
  <si>
    <t>Amort (months)</t>
  </si>
  <si>
    <t>Tax-exempt bond</t>
  </si>
  <si>
    <t>Taxable bond</t>
  </si>
  <si>
    <t>HOME</t>
  </si>
  <si>
    <t>State LIH</t>
  </si>
  <si>
    <t>CDBG</t>
  </si>
  <si>
    <t>RD 515</t>
  </si>
  <si>
    <t>Federal HOME</t>
  </si>
  <si>
    <t>Debt Financing:</t>
  </si>
  <si>
    <t>Grants:</t>
  </si>
  <si>
    <t>Rebates:</t>
  </si>
  <si>
    <t>Questar Gas</t>
  </si>
  <si>
    <t>Rocky Mountain Power</t>
  </si>
  <si>
    <t>Comments:</t>
  </si>
  <si>
    <t>TOTAL SOURCES OF FINANCING</t>
  </si>
  <si>
    <t>Gap between Sources of Funds and Project Costs:</t>
  </si>
  <si>
    <t>Name and Address of Lender(s)</t>
  </si>
  <si>
    <t>Name/Phone/Email of Contact Person(s)</t>
  </si>
  <si>
    <t>PERMANENT FINANCING - Lender Information</t>
  </si>
  <si>
    <t>Other</t>
  </si>
  <si>
    <t>Equity Financing:</t>
  </si>
  <si>
    <t>PERMANENT FINANCING - Equity Financing Information</t>
  </si>
  <si>
    <t>PERMANENT FINANCING - Grant Information</t>
  </si>
  <si>
    <t>Status*/Date</t>
  </si>
  <si>
    <t>SOURCES OF FUNDS (Continued)</t>
  </si>
  <si>
    <t>State Match</t>
  </si>
  <si>
    <t>Equipment Included - Affordable Units:</t>
  </si>
  <si>
    <t>Range</t>
  </si>
  <si>
    <t>Dishwasher</t>
  </si>
  <si>
    <t>Refrigerator</t>
  </si>
  <si>
    <t>Kitchen Exhaust</t>
  </si>
  <si>
    <t>Disposal</t>
  </si>
  <si>
    <t>Laundry Hookups</t>
  </si>
  <si>
    <t>Air Conditioning</t>
  </si>
  <si>
    <t>Total units (existing and new):</t>
  </si>
  <si>
    <t>(For acquisition/rehab, rehab only, or acquisition only, list the number of units currently</t>
  </si>
  <si>
    <t>(For acquisition/rehab, rehab only, or acquisition only, list number of low-income units</t>
  </si>
  <si>
    <t>for low-income residents; for new construction or non-residential conversion, list "0")</t>
  </si>
  <si>
    <t>added, if any; for new construction or non-residential conversion, list number of units)</t>
  </si>
  <si>
    <t>Non-Residential Conversion</t>
  </si>
  <si>
    <t>Fluorescent Lighting</t>
  </si>
  <si>
    <t>Equipment Included - Market-Rate Units:</t>
  </si>
  <si>
    <t>Energy Equipment:</t>
  </si>
  <si>
    <t>Domestic Hot Water</t>
  </si>
  <si>
    <t>Heating</t>
  </si>
  <si>
    <t>Type of System</t>
  </si>
  <si>
    <t>Energy Source</t>
  </si>
  <si>
    <t>Electric</t>
  </si>
  <si>
    <t>Natural Gas</t>
  </si>
  <si>
    <t>Propane</t>
  </si>
  <si>
    <t>Rating</t>
  </si>
  <si>
    <t>Monthly Utility Allowance Calculations:</t>
  </si>
  <si>
    <t>Type</t>
  </si>
  <si>
    <t>Utilities</t>
  </si>
  <si>
    <t>Paid By</t>
  </si>
  <si>
    <t>Nat Gas</t>
  </si>
  <si>
    <t>Elect</t>
  </si>
  <si>
    <t>Cooking</t>
  </si>
  <si>
    <t>Lighting</t>
  </si>
  <si>
    <t>Hot Water</t>
  </si>
  <si>
    <t>Sewer</t>
  </si>
  <si>
    <t>Water</t>
  </si>
  <si>
    <t>Trash</t>
  </si>
  <si>
    <t>Total Utility Allowance</t>
  </si>
  <si>
    <t>Enter allowances paid by tenant by unit size (BR)</t>
  </si>
  <si>
    <t>Source of Utility Allowance Calculations:</t>
  </si>
  <si>
    <t>Rural Development</t>
  </si>
  <si>
    <t>Local Public Housing Authority</t>
  </si>
  <si>
    <t>Utility Company Average</t>
  </si>
  <si>
    <t>If using PHA, list name of PHA</t>
  </si>
  <si>
    <t>County Project Located In:</t>
  </si>
  <si>
    <t>AMI Target</t>
  </si>
  <si>
    <t># Bed- rooms</t>
  </si>
  <si>
    <t>Square Ft/Unit</t>
  </si>
  <si>
    <t>Sq Ft/ Unit Type</t>
  </si>
  <si>
    <t>DV</t>
  </si>
  <si>
    <t>CMI</t>
  </si>
  <si>
    <t>HOP</t>
  </si>
  <si>
    <t>DD</t>
  </si>
  <si>
    <t>ELD</t>
  </si>
  <si>
    <t>HOM</t>
  </si>
  <si>
    <t>SN</t>
  </si>
  <si>
    <t>TR</t>
  </si>
  <si>
    <t>None</t>
  </si>
  <si>
    <t>Ogden</t>
  </si>
  <si>
    <t>Orem</t>
  </si>
  <si>
    <t>Provo</t>
  </si>
  <si>
    <t>Affordable Units:</t>
  </si>
  <si>
    <t>Market Units:</t>
  </si>
  <si>
    <t>Year-1</t>
  </si>
  <si>
    <t>Year-2</t>
  </si>
  <si>
    <t>Year-3</t>
  </si>
  <si>
    <t>Year-4</t>
  </si>
  <si>
    <t>Year-5</t>
  </si>
  <si>
    <t>Year-6</t>
  </si>
  <si>
    <t>Year-7</t>
  </si>
  <si>
    <t>Year-8</t>
  </si>
  <si>
    <t>Year-9</t>
  </si>
  <si>
    <t>Year-10</t>
  </si>
  <si>
    <t>Year-11</t>
  </si>
  <si>
    <t>Year-12</t>
  </si>
  <si>
    <t>Year-13</t>
  </si>
  <si>
    <t>Year-14</t>
  </si>
  <si>
    <t>Year-15</t>
  </si>
  <si>
    <t>If 7 or 8, select #</t>
  </si>
  <si>
    <t>SINGLE FAMILY HOUSING AFFORDABILITY ANALYSIS</t>
  </si>
  <si>
    <t>FIRST MORTGAGE:</t>
  </si>
  <si>
    <t>SECOND MORTGAGE:</t>
  </si>
  <si>
    <t>All Monthly Payments + Util Allowance and Estimated Taxes/Insurance - Percentage of Monthly Income</t>
  </si>
  <si>
    <t xml:space="preserve">  or garage</t>
  </si>
  <si>
    <t>Air quality</t>
  </si>
  <si>
    <t>SINGLE FAMILY PROJECT DEVELOPMENT SCHEDULE</t>
  </si>
  <si>
    <t>Sales Begin</t>
  </si>
  <si>
    <t>Condominium</t>
  </si>
  <si>
    <t>Single family/no PUD-HOA</t>
  </si>
  <si>
    <t>Other PUD-HOA</t>
  </si>
  <si>
    <t>1-level duplex/twinhome</t>
  </si>
  <si>
    <t>1-level triplex</t>
  </si>
  <si>
    <t>1-level fourplex</t>
  </si>
  <si>
    <t>Multi-level townhomes</t>
  </si>
  <si>
    <t>First Mortgage</t>
  </si>
  <si>
    <t>Month</t>
  </si>
  <si>
    <t>Interest</t>
  </si>
  <si>
    <t>Principal</t>
  </si>
  <si>
    <t>Payment</t>
  </si>
  <si>
    <t>Year-16</t>
  </si>
  <si>
    <t>Year-17</t>
  </si>
  <si>
    <t>Year-18</t>
  </si>
  <si>
    <t>Year-19</t>
  </si>
  <si>
    <t>Year-20</t>
  </si>
  <si>
    <t>Year-21</t>
  </si>
  <si>
    <t>Year-22</t>
  </si>
  <si>
    <t>Year-23</t>
  </si>
  <si>
    <t>Year-24</t>
  </si>
  <si>
    <t>Year-25</t>
  </si>
  <si>
    <t>Year-26</t>
  </si>
  <si>
    <t>Year-27</t>
  </si>
  <si>
    <t>Year-28</t>
  </si>
  <si>
    <t>Year-29</t>
  </si>
  <si>
    <t>Year-30</t>
  </si>
  <si>
    <t>Year-31</t>
  </si>
  <si>
    <t>Year-32</t>
  </si>
  <si>
    <t>Year-33</t>
  </si>
  <si>
    <t>Year-34</t>
  </si>
  <si>
    <t>Year-35</t>
  </si>
  <si>
    <t>Year-36</t>
  </si>
  <si>
    <t>Year-37</t>
  </si>
  <si>
    <t>Year-38</t>
  </si>
  <si>
    <t>Year-39</t>
  </si>
  <si>
    <t>Year-40</t>
  </si>
  <si>
    <t>SINGLE FAMILY APPLICATION INSTRUCTIONS</t>
  </si>
  <si>
    <t>SINGLE FAMILY APPLICATION INFORMATION</t>
  </si>
  <si>
    <t>SINGLE FAMILY APPLICATION CHECKLIST</t>
  </si>
  <si>
    <t>Source of Funds</t>
  </si>
  <si>
    <t>The housing must remain as the principal residence throughout the period of affordability.  To ensure affordability, the participating jurisdiction (State of Utah) may impose either resale or recapture requirements.  On a lease purchase, the housing must be purchased within 36 months of signing the lease-purchase agreements in accordance with HOME Final Rule 24 CFR Part 92.254.</t>
  </si>
  <si>
    <t>IMPORTANT SINGLE FAMILY APPLICANT INFORMATION</t>
  </si>
  <si>
    <t>SITE WORK/ACQUISITION COSTS</t>
  </si>
  <si>
    <t>On-Site Work</t>
  </si>
  <si>
    <t>TOTAL SITE WORK/ACQUISITION COSTS</t>
  </si>
  <si>
    <t>Total Hard Construction Costs</t>
  </si>
  <si>
    <t>Land/Building Acquisition &amp; Demolition Costs</t>
  </si>
  <si>
    <t>TOTAL HARD CONSTRUCTION COSTS</t>
  </si>
  <si>
    <t>Municipal/Building Permit Fees</t>
  </si>
  <si>
    <t>Energy Star Upgrades</t>
  </si>
  <si>
    <t>Architectural/Engineering Fees</t>
  </si>
  <si>
    <t>Environmental Study Costs</t>
  </si>
  <si>
    <t>TOTAL SOFT CONSTRUCTION COSTS</t>
  </si>
  <si>
    <t>Other F-1 Fees</t>
  </si>
  <si>
    <t>TOTAL PROFIT AND OVERHEAD</t>
  </si>
  <si>
    <t>FINANCING EXPENSES</t>
  </si>
  <si>
    <t>Syndication Expenses</t>
  </si>
  <si>
    <t>TOTAL FINANCING EXPENSES</t>
  </si>
  <si>
    <t>CONTINGENCY</t>
  </si>
  <si>
    <t>Construction Financing Expenses</t>
  </si>
  <si>
    <t>Permanent Financing Expenses</t>
  </si>
  <si>
    <t>TOTAL DEVELOPMENT COSTS</t>
  </si>
  <si>
    <t>(Maximum 25 points)</t>
  </si>
  <si>
    <t>"Green" Projects:</t>
  </si>
  <si>
    <r>
      <t xml:space="preserve">Scoring based on the project's compliance with at least </t>
    </r>
    <r>
      <rPr>
        <b/>
        <sz val="10"/>
        <rFont val="Arial"/>
        <family val="2"/>
      </rPr>
      <t>one</t>
    </r>
    <r>
      <rPr>
        <sz val="10"/>
        <rFont val="Arial"/>
        <family val="2"/>
      </rPr>
      <t xml:space="preserve"> of the following certifications:</t>
    </r>
  </si>
  <si>
    <t>This application is designed for use to apply for single family homeownership development projects that fall outside the specific OWHLF program categories of the Single Family Rural Reconstruction/Replacement Program ("SFRRP"), the Self-Help Mutual Housing Program in partnership with USDA-Rural Development ("Self-Help"), or the Home Choice program for households with disabled member(s).</t>
  </si>
  <si>
    <t>Plan and community letter of support is provided?</t>
  </si>
  <si>
    <t>Does community have an Affordable Housing Plan?</t>
  </si>
  <si>
    <t>The mission of the Olene Walker Housing Loan Fund is to support quality affordable housing options that meet the needs of Utah’s individuals and families while maximizing all resources.  Developer fee is limited to no more than 10% of total development costs (less land costs), while total overhead and profit is limited to no more than 18% of total development cost for projects with 26 units or greater, and no more than 25% of total development cost for projects with less than 26 units.  Please discuss in detail how this application addresses the goals listed above in the topic areas below, using actual data from the application to illustrate the explanation.</t>
  </si>
  <si>
    <t>Funds may be used to support affordable housing through acquisition and new construction of non-luxury housing with suitable amenities, including the following:  real property acquisition, site improvements, and other expenses including financing costs, relocation expenses of any displaced person(s), families, businesses, or other organizations; payment of reasonable administrative and planning costs; and to provide for the payment of operating expenses of Community Housing Development Organizations ("CHDOs").  Acquisition of vacant land or demolition must be undertaken only with respect to a particular housing project intended to provide affordable housing in accordance with HOME Final Rule 24 CFR Part 92.205.</t>
  </si>
  <si>
    <t>Amortization Schedule - Loan #1</t>
  </si>
  <si>
    <t>Loan Balance</t>
  </si>
  <si>
    <t>Beginning Balance</t>
  </si>
  <si>
    <t>Interest Rate:</t>
  </si>
  <si>
    <t>Amortization Period:</t>
  </si>
  <si>
    <t>Loan Type:</t>
  </si>
  <si>
    <t>Loan Type</t>
  </si>
  <si>
    <t>Fully-Amort</t>
  </si>
  <si>
    <t>Cash Flow</t>
  </si>
  <si>
    <t>Deferred</t>
  </si>
  <si>
    <t>Int-Only</t>
  </si>
  <si>
    <t>Monthly Payment:</t>
  </si>
  <si>
    <t>Amount Financed</t>
  </si>
  <si>
    <t>Amortization Schedule - Loan #2</t>
  </si>
  <si>
    <t>Amortization Schedule - OWHLF Loan</t>
  </si>
  <si>
    <t>POPULATION</t>
  </si>
  <si>
    <t>AMI Targeting:</t>
  </si>
  <si>
    <t>CRITERIA</t>
  </si>
  <si>
    <t>VALUE</t>
  </si>
  <si>
    <t>CATEGORY</t>
  </si>
  <si>
    <t>OWHLF Leveraging:</t>
  </si>
  <si>
    <t>County Population:</t>
  </si>
  <si>
    <t>If New Construction, On Infill?</t>
  </si>
  <si>
    <t>POINTS SCORED</t>
  </si>
  <si>
    <t>Are 10% of the units:</t>
  </si>
  <si>
    <t>4 bedroom - 5 points</t>
  </si>
  <si>
    <t>3 bedroom - 4 points</t>
  </si>
  <si>
    <t>2 bedroom - 3 points</t>
  </si>
  <si>
    <t>1 bedroom - 2 points</t>
  </si>
  <si>
    <t>Studio/SRO - 1 point</t>
  </si>
  <si>
    <t>Total # Units</t>
  </si>
  <si>
    <t>Total Eligible Cost:</t>
  </si>
  <si>
    <t>1 Bedroom</t>
  </si>
  <si>
    <t>2 Bedroom</t>
  </si>
  <si>
    <t>3 Bedroom</t>
  </si>
  <si>
    <t>4 Bedroom</t>
  </si>
  <si>
    <t>Multiplied</t>
  </si>
  <si>
    <t>by 3 =</t>
  </si>
  <si>
    <t>Population &lt;15,000 - 10 points</t>
  </si>
  <si>
    <t>(Maximum 10 points)</t>
  </si>
  <si>
    <t>Population 15,001-26,000 - 7 points</t>
  </si>
  <si>
    <t>Population 26,001-75,000 - 5 points</t>
  </si>
  <si>
    <t>Population 75,001-100,000 - 2 points</t>
  </si>
  <si>
    <t>Over 100,000 - 0 points</t>
  </si>
  <si>
    <t>Monthly Payment</t>
  </si>
  <si>
    <t>Total Monthly Pmts</t>
  </si>
  <si>
    <t>Annual Debt Service - All Loans</t>
  </si>
  <si>
    <t>Profit and Overhead Limitations:</t>
  </si>
  <si>
    <t>PROJECT EXPLANATION AND OWHLF MISSION STATEMENT</t>
  </si>
  <si>
    <t>Development Cost Efficiencies:</t>
  </si>
  <si>
    <t>Financing Innovations:</t>
  </si>
  <si>
    <t>Are all development team members in good standing with OWHLF?</t>
  </si>
  <si>
    <t>Domestic violence</t>
  </si>
  <si>
    <t>Environmental Study (select "Yes" in one box):</t>
  </si>
  <si>
    <t>Year Built</t>
  </si>
  <si>
    <t>Hardware</t>
  </si>
  <si>
    <t>Lead-Base Paint, Soil Study, Etc.</t>
  </si>
  <si>
    <t>Interim Proration Schedule of Expenses</t>
  </si>
  <si>
    <t>Permanent Proration Schedule of Expenses</t>
  </si>
  <si>
    <t>SYNDICATION COSTS</t>
  </si>
  <si>
    <t>Partnership Organization</t>
  </si>
  <si>
    <t>Bridge Loan Fees and Expenses</t>
  </si>
  <si>
    <t>Tax Opinion, Audit/Accounting Fees</t>
  </si>
  <si>
    <t>Doors and Windows</t>
  </si>
  <si>
    <t>If "No", estimated submittal date:</t>
  </si>
  <si>
    <t>Date of Bid or Estimate:</t>
  </si>
  <si>
    <t>CONSTRUCTION/INTERIM FINANCING EXPENSES</t>
  </si>
  <si>
    <t>PERMANENT FINANCING EXPENSES</t>
  </si>
  <si>
    <t>ALTA Survey Expenses</t>
  </si>
  <si>
    <t>Maximizing Proceeds to the Project:</t>
  </si>
  <si>
    <t>Maximizing Longevity and Maintaining Appeal and Affordability:</t>
  </si>
  <si>
    <t>PROJECT QUALITY AND DESIGN COMMITMENT</t>
  </si>
  <si>
    <t>Discuss the project construction quality and durability features in the areas provided, including whether design meets or exceeds current building code.</t>
  </si>
  <si>
    <t>Feature</t>
  </si>
  <si>
    <t>Description</t>
  </si>
  <si>
    <t>Rated Life</t>
  </si>
  <si>
    <t>Exterior finish</t>
  </si>
  <si>
    <t xml:space="preserve">  materials</t>
  </si>
  <si>
    <t>Fencing</t>
  </si>
  <si>
    <t>Plumbing materials</t>
  </si>
  <si>
    <t xml:space="preserve">  and fixtures</t>
  </si>
  <si>
    <t>Roofing</t>
  </si>
  <si>
    <t>PROJECT QUALITY AND DESIGN COMMITMENT (Continued)</t>
  </si>
  <si>
    <t>Energy efficiency</t>
  </si>
  <si>
    <t>Cabinetry and</t>
  </si>
  <si>
    <t xml:space="preserve">  countertops</t>
  </si>
  <si>
    <t>Insulation</t>
  </si>
  <si>
    <t>A.</t>
  </si>
  <si>
    <t>Option/Contract to Purchase</t>
  </si>
  <si>
    <t>Site Analysis</t>
  </si>
  <si>
    <t>Site Acquisition</t>
  </si>
  <si>
    <t>Final Zoning Approval</t>
  </si>
  <si>
    <t>B.</t>
  </si>
  <si>
    <t>Application</t>
  </si>
  <si>
    <t>Conditional Commitment</t>
  </si>
  <si>
    <t>Firm Commitment</t>
  </si>
  <si>
    <t>Type &amp; Source</t>
  </si>
  <si>
    <t>Award</t>
  </si>
  <si>
    <t>C.</t>
  </si>
  <si>
    <t>Plans and Specifications</t>
  </si>
  <si>
    <t>Working Drawings</t>
  </si>
  <si>
    <t>D.</t>
  </si>
  <si>
    <t>Closing/Site Transfer</t>
  </si>
  <si>
    <t>E.</t>
  </si>
  <si>
    <t>Start of Construction</t>
  </si>
  <si>
    <t>F.</t>
  </si>
  <si>
    <t>Certificate of Occupancy</t>
  </si>
  <si>
    <t>G.</t>
  </si>
  <si>
    <t>H.</t>
  </si>
  <si>
    <t>Activity</t>
  </si>
  <si>
    <t>Scheduled Date</t>
  </si>
  <si>
    <t>(MM/DD/YYYY)</t>
  </si>
  <si>
    <t>1.  Construction Loan</t>
  </si>
  <si>
    <t>2.  Permanent Loan</t>
  </si>
  <si>
    <t>3.  Other Sources of Funds</t>
  </si>
  <si>
    <t>The undersigned is responsible for ensuring that the project consists or will consist of a qualified low-income building or buildings, and will satisfy all applicable requirements of State and Federal law in the acquisition, rehabilitation or construction and operation of the project to receive the funding from the Olene Walker Housing Loan Fund.  The undersigned is responsible for all calculations and figures relating to the application.</t>
  </si>
  <si>
    <t>The undersigned hereby makes Application to the State of Utah.  The undersigned agrees that the State of Utah will at all times be indemnified and held harmless against all losses, costs, damages, expenses and liabilities whatsoever nature of kind (including, but not limited to attorney's fees, litigation and court costs, amounts paid in settlement, and amounts paid to discharge judgment, any loss from judgment directly or indirectly resulting from, arising out of, or related to acceptance, consideration and approval or disapproval of such allocation request.</t>
  </si>
  <si>
    <t>State Low Income Housing Funds</t>
  </si>
  <si>
    <t>Loan/Grant Assistance using</t>
  </si>
  <si>
    <t>Please Mark Boxes "Yes", "No", or "N/A":</t>
  </si>
  <si>
    <t>Please select "Yes" in the appropriate box for organization type:</t>
  </si>
  <si>
    <t>Legal Name</t>
  </si>
  <si>
    <t>By 221(d)(3) Limits (aggregate)</t>
  </si>
  <si>
    <t>Misc Metals, Repair, Rails</t>
  </si>
  <si>
    <t>Medicine Cabinets/Mirrors Labor &amp; Materials</t>
  </si>
  <si>
    <t>Bathroom Accessories (towel bars, etc.)</t>
  </si>
  <si>
    <t>Common Area Furnishings, Exercise Equipment</t>
  </si>
  <si>
    <t>Per Unit</t>
  </si>
  <si>
    <t>Total</t>
  </si>
  <si>
    <t>% Rate</t>
  </si>
  <si>
    <t>Term (mo)</t>
  </si>
  <si>
    <t>Amount</t>
  </si>
  <si>
    <t>Mo Pmt</t>
  </si>
  <si>
    <t>Unit Type by #BR</t>
  </si>
  <si>
    <t>Sq Ft</t>
  </si>
  <si>
    <t>Est'd Insurance</t>
  </si>
  <si>
    <t>HOA Dues</t>
  </si>
  <si>
    <t>Property Taxes</t>
  </si>
  <si>
    <t>Property Insurance</t>
  </si>
  <si>
    <t>Total Monthly Payment (PITI):</t>
  </si>
  <si>
    <t>% of Median Income</t>
  </si>
  <si>
    <t>Median Income:</t>
  </si>
  <si>
    <t>Mo Pmt % Income:</t>
  </si>
  <si>
    <t>% Mo Inc</t>
  </si>
  <si>
    <t>Affordable</t>
  </si>
  <si>
    <t>Index</t>
  </si>
  <si>
    <t>DEVELOPMENT PROFORMA - AFFORDABILITY ANALYSIS</t>
  </si>
  <si>
    <t>UTILITIES, PROPERTY TAXES, INSURANCE, HOA DUES, DOWN PMT - AFFORDABLE UNITS ONLY</t>
  </si>
  <si>
    <t>Est'd Down Pmt</t>
  </si>
  <si>
    <t>Total 1 BR</t>
  </si>
  <si>
    <t>Total 2 BR</t>
  </si>
  <si>
    <t>Total 3 BR</t>
  </si>
  <si>
    <t>Total 4 BR</t>
  </si>
  <si>
    <t>DP % of Purch Price</t>
  </si>
  <si>
    <t>Est'd Prop Taxes</t>
  </si>
  <si>
    <t>Enter total number of affordable units by bedroom configuration, and other unit information as requested:</t>
  </si>
  <si>
    <t>Lender Other Fees</t>
  </si>
  <si>
    <t>CNA as % of Total Dev Costs</t>
  </si>
  <si>
    <t>Const Costs as % of CNA</t>
  </si>
  <si>
    <t>Actual purchase price (without acq or other fees)</t>
  </si>
  <si>
    <t>CALCULATION OF FEDERAL HOME/STATE LIH COMPLIANCE MONITORING PERIOD</t>
  </si>
  <si>
    <t>Loan Leveraging:</t>
  </si>
  <si>
    <t>OWHLF Loan Request:</t>
  </si>
  <si>
    <t>There are two additional tabs that can be seen below:</t>
  </si>
  <si>
    <t>If you have any questions about this application, about the application process in general, or the availability of OWHLF funding during a specific round, please contact the OWHLF staff as listed below:</t>
  </si>
  <si>
    <t>Example:</t>
  </si>
  <si>
    <t>Examples:</t>
  </si>
  <si>
    <t>This application has been redesigned to be easier to read and to use, with fields that autocalculate applicable amounts and program limits, and other features to simplify the application process.  Please read these instructions fully before you begin entering data.</t>
  </si>
  <si>
    <t>1.  The entire application is password-protected to prevent the unintentional deletion of formulas and key text.  Simply use the "Tab" key to move from one entry cell to another as project data is entered.</t>
  </si>
  <si>
    <t>SUMMARY OF PROJECT CONSTRUCTION COSTS</t>
  </si>
  <si>
    <t>DETAILED PROJECT CONSTRUCTION COST BREAKDOWN (Continued)</t>
  </si>
  <si>
    <t>DETAILED PROJECT CONSTRUCTION COST BREAKDOWN</t>
  </si>
  <si>
    <t>SUMMARY OF PROJECT CONSTRUCTION COSTS (Continued)</t>
  </si>
  <si>
    <t>Name and Address of Grantor(s)</t>
  </si>
  <si>
    <t>Rebates are available from Rocky Mountain Power and must be included as a source of financing, if applicable.</t>
  </si>
  <si>
    <t>Rebates are available from Questar Gas and must be included as a source of financing, if applicable.</t>
  </si>
  <si>
    <t>An Executive Summary should precede the OWHLF application that will provide specific information about the project, including a brief summary of the project, and any pertinent information about the project that you think should be considered in the OWHLF staff review of the application.</t>
  </si>
  <si>
    <t>Evidence of site control, Title Report/Policy, Environmental Study or Survey, and site location map.</t>
  </si>
  <si>
    <t>Certified copies of the organizational documents of all entities involved in this project (Articles of Incorporation, Partnership Agreements, etc.).</t>
  </si>
  <si>
    <t>Non-profits provide a copy of the IRS Determination Letter of Non-Profit Status, and a copy of the articles or bylaws evidencing that one of its exempt purposes is providing affordable housing.  CHDOs please provide a designation certificate or letter attesting CHDO status from the state or HUD.</t>
  </si>
  <si>
    <t>Resume(s) and current independently audited or certified financial statement(s) of the sponsor(s).</t>
  </si>
  <si>
    <t>Letters of Interest, Subsidy</t>
  </si>
  <si>
    <t>Letters of Interest, Commitment Letters, or terms from each of the proposed sources of funds, including grants, deferred-payment loans, loan guarantees, and/or operating subsidies (USDA-RD, HUD, etc.).</t>
  </si>
  <si>
    <t>Evidence of zoning from the applicable governmental authority and current status, including procedures and time table for the project per conditional use permits ("CUP"), density, public meetings, etc.</t>
  </si>
  <si>
    <t>Federal HOME Funds And/Or</t>
  </si>
  <si>
    <t>If the project costs entered in the Summary of Construction Costs do not equal the funding sources entered in the Sources of Funds section, the following message will show:</t>
  </si>
  <si>
    <t>&lt;&lt;PROJECT IS UNDERFUNDED&gt;&gt;</t>
  </si>
  <si>
    <r>
      <t xml:space="preserve">2.  Cells requiring entries will have </t>
    </r>
    <r>
      <rPr>
        <b/>
        <sz val="10"/>
        <color indexed="17"/>
        <rFont val="Arial"/>
        <family val="2"/>
      </rPr>
      <t>green bolded</t>
    </r>
    <r>
      <rPr>
        <sz val="10"/>
        <rFont val="Arial"/>
        <family val="2"/>
      </rPr>
      <t xml:space="preserve"> text and a yellow background; cells with only the </t>
    </r>
    <r>
      <rPr>
        <b/>
        <sz val="10"/>
        <color indexed="17"/>
        <rFont val="Arial"/>
        <family val="2"/>
      </rPr>
      <t>green bolded text</t>
    </r>
    <r>
      <rPr>
        <sz val="10"/>
        <rFont val="Arial"/>
        <family val="2"/>
      </rPr>
      <t xml:space="preserve"> and </t>
    </r>
    <r>
      <rPr>
        <b/>
        <sz val="10"/>
        <rFont val="Arial"/>
        <family val="2"/>
      </rPr>
      <t>no</t>
    </r>
    <r>
      <rPr>
        <sz val="10"/>
        <rFont val="Arial"/>
        <family val="2"/>
      </rPr>
      <t xml:space="preserve"> yellow background contain formulas that calculate automatically.  Again, those cells that contain formulas will be locked so unintentional deletion can be avoided.  Cells with </t>
    </r>
    <r>
      <rPr>
        <b/>
        <sz val="10"/>
        <color indexed="12"/>
        <rFont val="Arial"/>
        <family val="2"/>
      </rPr>
      <t>blue bolded text</t>
    </r>
    <r>
      <rPr>
        <sz val="10"/>
        <rFont val="Arial"/>
        <family val="2"/>
      </rPr>
      <t xml:space="preserve"> are also protected, as they also provide automatic calculations.  On drop-downs, if the text is </t>
    </r>
    <r>
      <rPr>
        <b/>
        <sz val="10"/>
        <color indexed="10"/>
        <rFont val="Arial"/>
        <family val="2"/>
      </rPr>
      <t>red bolded</t>
    </r>
    <r>
      <rPr>
        <sz val="10"/>
        <rFont val="Arial"/>
        <family val="2"/>
      </rPr>
      <t>, this means that the answer selected is not correct; on calculation tables, it simply represents subtraction of calculated amounts, such as subtracting applicable utility allowances from gross rental amounts to arrive at net rental amounts.</t>
    </r>
  </si>
  <si>
    <t>Fam Size/Inc Limits at</t>
  </si>
  <si>
    <t>Monthly</t>
  </si>
  <si>
    <t xml:space="preserve">2)  Direct OWHLF fully-amortizing loans to qualified low-income homebuyers, with terms of up to 30 years and interest rates based on AMI of the homebuyer population served. </t>
  </si>
  <si>
    <t>1)  A 12- or 24-month secured deferred-payment construction loan directly to the developer, with interest rates based on the area median income ("AMI") of the homebuyer population served.</t>
  </si>
  <si>
    <t>OWHLF Assistance Requested:</t>
  </si>
  <si>
    <t>Direct Loans to Homebuyers</t>
  </si>
  <si>
    <t>State Of Utah - Department of Workforce Services</t>
  </si>
  <si>
    <t>Housing and Community Development Division</t>
  </si>
  <si>
    <t>The State of Utah - Department of Workforce Services - Housing and Community Development Division has created this single family home ownership application for developers to apply for assistance with affordable housing financing through the Olene Walker Housing Loan Fund.  Funding sources for the Olene Walker Housing Loan Fund include annual appropriations from HUD, matching funds from the state of Utah, and program income realized from previously-issued loans.</t>
  </si>
  <si>
    <t>For HCDD Use Only</t>
  </si>
  <si>
    <t>Current utility allowance from applicable Public Housing Authority, HUD, or RD, or a signed statement from utility company(ies), or the Energy Star rater's estimate.</t>
  </si>
  <si>
    <t>List of Utah-qualified independent Energy Star raters:</t>
  </si>
  <si>
    <t>Energy Star Rater</t>
  </si>
  <si>
    <t>Energy Star upgrades</t>
  </si>
  <si>
    <t>Housing Activity</t>
  </si>
  <si>
    <t>DWS-Housing and Community Development Division</t>
  </si>
  <si>
    <t>Acq/Rehab with RD 502 Financing</t>
  </si>
  <si>
    <t>Acq/Rehab without RD 502 Financing</t>
  </si>
  <si>
    <t>Rehab with RD 502 Financing</t>
  </si>
  <si>
    <t>Rehab without RD 502 Financing</t>
  </si>
  <si>
    <t>New Const with RD 502 Financing</t>
  </si>
  <si>
    <t>PERMANENT OR CONSTRUCTION FINANCING - Loan and Grant Information</t>
  </si>
  <si>
    <t>Total Housing Costs as Percentage of Monthly Income</t>
  </si>
  <si>
    <t>Total Studio</t>
  </si>
  <si>
    <t># Units w/config</t>
  </si>
  <si>
    <t>Proposed First Mortgage Terms:</t>
  </si>
  <si>
    <t>Proposed Second Mortgage Terms:</t>
  </si>
  <si>
    <t>TOTAL HOUSING COSTS:</t>
  </si>
  <si>
    <t>#BRs</t>
  </si>
  <si>
    <t>Loan Amt</t>
  </si>
  <si>
    <t>First Mtge - Monthly Payment</t>
  </si>
  <si>
    <t>2nd Mtge - Monthly Payment</t>
  </si>
  <si>
    <t>Estimated Property Taxes</t>
  </si>
  <si>
    <t>Estimated Insurance</t>
  </si>
  <si>
    <t>Homeowner (HOA) Dues</t>
  </si>
  <si>
    <t>Total Monthly Costs</t>
  </si>
  <si>
    <t>Total Monthly Pmt (PITI, HOA):</t>
  </si>
  <si>
    <t>Min Annual Income Required:</t>
  </si>
  <si>
    <t>Monthly Inc Req'd:</t>
  </si>
  <si>
    <t>OR</t>
  </si>
  <si>
    <t>HB Loan:</t>
  </si>
  <si>
    <t>PURCHASE</t>
  </si>
  <si>
    <t>PRICE</t>
  </si>
  <si>
    <t>Source:  HUD</t>
  </si>
  <si>
    <t>Median $</t>
  </si>
  <si>
    <t>Affordable Units Only</t>
  </si>
  <si>
    <t>Monthly Pmt</t>
  </si>
  <si>
    <t>Household/Family Size:</t>
  </si>
  <si>
    <t>Person</t>
  </si>
  <si>
    <t>Persons</t>
  </si>
  <si>
    <t>Maximum Total Allowable Subsidy:</t>
  </si>
  <si>
    <t>Average Unit Purchase Price:</t>
  </si>
  <si>
    <t>(OW Max $1 Million per Project/Developer)</t>
  </si>
  <si>
    <t>Bal at end of Term</t>
  </si>
  <si>
    <t>months @</t>
  </si>
  <si>
    <t>OWHLF Homeowner Loan?</t>
  </si>
  <si>
    <t>Total Requested Amounts</t>
  </si>
  <si>
    <t>Utility rebates (all projects):</t>
  </si>
  <si>
    <t>Preliminary HERS Score:</t>
  </si>
  <si>
    <t>Will all units be Energy Star qualified?</t>
  </si>
  <si>
    <t>For projects 4 or more stories:</t>
  </si>
  <si>
    <t>The architect will be required to benchmark the project through the EPA Energy Star</t>
  </si>
  <si>
    <t>website located at:</t>
  </si>
  <si>
    <t>www.energystar.gov/index.cfm?c=bldrs_lenders_raters.nh_multifamily_highrise</t>
  </si>
  <si>
    <t>Energy Star Rater*</t>
  </si>
  <si>
    <r>
      <t xml:space="preserve">*When using Energy Star utility allowances, enter the </t>
    </r>
    <r>
      <rPr>
        <b/>
        <sz val="9"/>
        <rFont val="Arial"/>
        <family val="2"/>
      </rPr>
      <t>total</t>
    </r>
    <r>
      <rPr>
        <sz val="9"/>
        <rFont val="Arial"/>
        <family val="2"/>
      </rPr>
      <t xml:space="preserve"> expected monthly utility expense for each unit type/size as provided by the Energy Star rater if it is not separated by type of utility (electric, gas, etc.).</t>
    </r>
  </si>
  <si>
    <t>The undersigned authorizes the State of Utah to disclose or provide copies of this application, as may be amended, or copies of any allocation agreement with respect to the proposed project to the Rural Development Service, Utah Housing Corporation and other government funding sources, including the Department of Housing and Urban Development as necessary to comply with state or federal law on the review of financial assistance provided to the project. I have read the minimum "Required Documentation Checklist", and understand that applications lacking the listed documents will be considered non-conforming and returned without consideration.  Owner and Applicant(s) represent that they have read and understand the content of the Application Packet and the Program Guidance and Rules, and understand the requirements placed on this project from the State or Federal requirements.</t>
  </si>
  <si>
    <t>ENERGY STAR INFORMATION AND UPGRADES, GREEN BUILDING STANDARDS</t>
  </si>
  <si>
    <t>Email:  sglines@utah.gov</t>
  </si>
  <si>
    <t>Phone:  801-468-0042</t>
  </si>
  <si>
    <t>6.  If you have any questions about filling out this application, or about the program in general, please don't hesitate to call Daniel Herbert-Voss at 801-468-0042 or by email at dhvoss@utah.gov.</t>
  </si>
  <si>
    <t>1385 South State Street, Fourth Floor</t>
  </si>
  <si>
    <t>Salt Lake City, UT  84115</t>
  </si>
  <si>
    <t>ATTN:  Daniel Herbert-Voss - email dhvoss@utah.gov</t>
  </si>
  <si>
    <t>All completed projects must be Energy Star or a HERS rating of 60 or better per OWHLF policy.  An analysis must be prepared by an independent Energy Star/HERS rater - enclose copy of initial analysis in application packet.  If project is not expected to cost-effectively achieve Energy Star thresholds, a request for a waiver can be submitted.  Waivers are granted only if all the rater's recommended and cost-effective measures (with &lt;= 15-year payback) are to be implemented and the project still will not meet the Energy Star threshold.  OWHLF-assisted projects are not required to meet a recognized standard or criteria for being "green"; however, HCDD welcomes projects that meet "green" standards or criteria such as Rural Community Assistance Council's Green Checklist or the LEED Silver Rating Certification.  All single family home ownership development projects receive an additional 5 OWHLF scoring points for meeting one of these standards.</t>
  </si>
  <si>
    <t>Housing that is constructed using HCDD-OWHLF funds must meet all Federal and state requirements, including applicable local and state building codes, ordinances, accessibility requirements, and zoning ordinances in effect at time of project completion.  As applicable, the housing must meet the property standards not later than 2 years after the transfer of the ownership interest in accordance with HOME Final Rule 24 CFR Part 92.251.  All housing must also be Energy Star/HERS qualified unless waived in writing by HCDD.</t>
  </si>
  <si>
    <t>OWHLF assistance requested can be in one of three forms:</t>
  </si>
  <si>
    <t>3)  Grants for extremely low-income or disabled households (below 30% AMI).</t>
  </si>
  <si>
    <r>
      <t>Community Support:</t>
    </r>
    <r>
      <rPr>
        <sz val="10"/>
        <rFont val="Arial"/>
        <family val="2"/>
      </rPr>
      <t xml:space="preserve"> (Maximum 10 points)</t>
    </r>
  </si>
  <si>
    <t>Does community where project will be located at have an Affordable Housing Plan?</t>
  </si>
  <si>
    <t>Letter verifying that project is consistent with the identified needs and goals of the AHP?</t>
  </si>
  <si>
    <t>HUD PURCHASE PRICE LIMITS BY # UNITS</t>
  </si>
  <si>
    <t>Shelli Glines, Housing Director</t>
  </si>
  <si>
    <t>Phone:  801-468-0144</t>
  </si>
  <si>
    <t>Deliver application packet in electronic form (CD/DVD or other media) to:</t>
  </si>
  <si>
    <t>Please submit one electronic version of this MS Excel application to dhvoss@utah.gov or by other electronic means.</t>
  </si>
  <si>
    <t>2015-2016 APPLICATION FORM</t>
  </si>
  <si>
    <r>
      <t xml:space="preserve">Tab two ("Income Limits, Mortgage, Amort") contains applicable income and mortgage limits applicable to state and Federal low-income housing programs that are updated annually by HUD, usually in March or April of each year.  </t>
    </r>
    <r>
      <rPr>
        <b/>
        <sz val="10"/>
        <rFont val="Arial"/>
        <family val="2"/>
      </rPr>
      <t>This application uses HOME income and mortgage limits that are effective June 1, 2015, and will be updated again upon receipt of the new limits for 2016</t>
    </r>
    <r>
      <rPr>
        <sz val="10"/>
        <rFont val="Arial"/>
        <family val="2"/>
      </rPr>
      <t>.  Amortization tables for all loans are also contained within this tab, and can be printed out if needed.</t>
    </r>
  </si>
  <si>
    <r>
      <t xml:space="preserve">Tab three ("Proforma") contains a project proforma which will help the applicant determine affordability to targeted homeowners.  OWHLF scoring criteria and information is discussed within the </t>
    </r>
    <r>
      <rPr>
        <i/>
        <sz val="10"/>
        <rFont val="Arial"/>
        <family val="2"/>
      </rPr>
      <t>2015-2016 Program Guidance and Rules</t>
    </r>
    <r>
      <rPr>
        <sz val="10"/>
        <rFont val="Arial"/>
        <family val="2"/>
      </rPr>
      <t>, and the last page (27) of the application automatically scores the project to that criteria.  Developers utilizing HOME and/or state LIH funds for their projects should be aware of what effects these funds may have on their projects in terms of restrictions and compliance issues, as well as if any other Utah participating jurisdictions are providing HOME funding for their project (cities 100,000+ in population such as Ogden, SLC, Provo, Orem, etc., and counties over 1,000,000 in population such as Salt Lake County).</t>
    </r>
  </si>
  <si>
    <t>2015-2016 SF APPLICATION FORM</t>
  </si>
  <si>
    <t>OWHLF SCORING PER 2015-2016 PROGRAM GUIDANCE &amp; RULES</t>
  </si>
  <si>
    <t>The application will use specific Federal and state criteria for the HOME program.  Projects utilizing Federal HOME funds for their project should carefully determine the effects that these funds will have on their projects and discuss their project's needs with HCDD and any other HOME participating jurisdictions in advance (counties with population of 1,000,000 or higher [Salt Lake County] or cities with population of 100,000 or higher [Salt Lake City, Ogden, Orem, Provo]).</t>
  </si>
  <si>
    <t>The maximum HOME per-unit subsidy limit that HUD can approved for a PJ also remains at 240% of the basic Section 234 mortgage limit.</t>
  </si>
  <si>
    <t>BASIC 234-CONDO LIMITS, UTAH BASE CITY HIGH COST PERCENTAGE</t>
  </si>
  <si>
    <t>HUD 234-Condo Limits</t>
  </si>
  <si>
    <t>234-Condo Multiplier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</si>
</sst>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quot;$&quot;#,##0.00_);\(&quot;$&quot;#,##0.00\)"/>
    <numFmt numFmtId="8" formatCode="&quot;$&quot;#,##0.00_);[Red]\(&quot;$&quot;#,##0.00\)"/>
    <numFmt numFmtId="43" formatCode="_(* #,##0.00_);_(* \(#,##0.00\);_(* &quot;-&quot;??_);_(@_)"/>
    <numFmt numFmtId="164" formatCode="[$-409]d\-mmm\-yy;@"/>
    <numFmt numFmtId="165" formatCode="[$-409]dd\-mmm\-yy;@"/>
    <numFmt numFmtId="166" formatCode="General_)"/>
    <numFmt numFmtId="167" formatCode="[$-409]mmmm\ d\,\ yyyy;@"/>
    <numFmt numFmtId="168" formatCode="&quot;$&quot;#,##0.00"/>
    <numFmt numFmtId="169" formatCode="&quot;$&quot;#,##0"/>
    <numFmt numFmtId="170" formatCode="0.000"/>
    <numFmt numFmtId="171" formatCode="0.0"/>
    <numFmt numFmtId="172" formatCode="m/d/yyyy;@"/>
    <numFmt numFmtId="173" formatCode="_(* #,##0_);_(* \(#,##0\);_(* &quot;-&quot;??_);_(@_)"/>
    <numFmt numFmtId="174" formatCode="m/d/yy;@"/>
  </numFmts>
  <fonts count="44" x14ac:knownFonts="1">
    <font>
      <sz val="10"/>
      <name val="Arial"/>
    </font>
    <font>
      <sz val="10"/>
      <name val="Arial"/>
      <family val="2"/>
    </font>
    <font>
      <sz val="8"/>
      <name val="Arial"/>
      <family val="2"/>
    </font>
    <font>
      <u/>
      <sz val="10"/>
      <color indexed="12"/>
      <name val="Arial"/>
      <family val="2"/>
    </font>
    <font>
      <b/>
      <sz val="10"/>
      <name val="Arial"/>
      <family val="2"/>
    </font>
    <font>
      <b/>
      <sz val="10"/>
      <color indexed="10"/>
      <name val="Arial"/>
      <family val="2"/>
    </font>
    <font>
      <sz val="10"/>
      <name val="Arial"/>
      <family val="2"/>
    </font>
    <font>
      <b/>
      <u/>
      <sz val="10"/>
      <name val="Arial"/>
      <family val="2"/>
    </font>
    <font>
      <sz val="6"/>
      <name val="Arial"/>
      <family val="2"/>
    </font>
    <font>
      <sz val="8"/>
      <name val="Arial"/>
      <family val="2"/>
    </font>
    <font>
      <b/>
      <sz val="9"/>
      <color indexed="12"/>
      <name val="Arial"/>
      <family val="2"/>
    </font>
    <font>
      <u/>
      <sz val="10"/>
      <name val="Arial"/>
      <family val="2"/>
    </font>
    <font>
      <u/>
      <sz val="8"/>
      <color indexed="12"/>
      <name val="Arial"/>
      <family val="2"/>
    </font>
    <font>
      <b/>
      <sz val="12"/>
      <name val="Arial"/>
      <family val="2"/>
    </font>
    <font>
      <b/>
      <sz val="9"/>
      <color indexed="17"/>
      <name val="Arial"/>
      <family val="2"/>
    </font>
    <font>
      <b/>
      <sz val="10"/>
      <color indexed="17"/>
      <name val="Arial"/>
      <family val="2"/>
    </font>
    <font>
      <u/>
      <sz val="8"/>
      <color indexed="17"/>
      <name val="Arial"/>
      <family val="2"/>
    </font>
    <font>
      <sz val="10"/>
      <color indexed="17"/>
      <name val="Arial"/>
      <family val="2"/>
    </font>
    <font>
      <sz val="9"/>
      <name val="Arial"/>
      <family val="2"/>
    </font>
    <font>
      <b/>
      <sz val="8"/>
      <color indexed="17"/>
      <name val="Arial"/>
      <family val="2"/>
    </font>
    <font>
      <i/>
      <sz val="8"/>
      <name val="Arial"/>
      <family val="2"/>
    </font>
    <font>
      <b/>
      <sz val="8"/>
      <name val="Arial"/>
      <family val="2"/>
    </font>
    <font>
      <sz val="9"/>
      <name val="Arial"/>
      <family val="2"/>
    </font>
    <font>
      <b/>
      <sz val="18"/>
      <color indexed="17"/>
      <name val="Arial"/>
      <family val="2"/>
    </font>
    <font>
      <b/>
      <sz val="11"/>
      <name val="Arial"/>
      <family val="2"/>
    </font>
    <font>
      <b/>
      <sz val="9"/>
      <name val="Arial"/>
      <family val="2"/>
    </font>
    <font>
      <sz val="10"/>
      <color indexed="10"/>
      <name val="Arial"/>
      <family val="2"/>
    </font>
    <font>
      <u/>
      <sz val="10"/>
      <name val="Arial"/>
      <family val="2"/>
    </font>
    <font>
      <u/>
      <sz val="8"/>
      <color indexed="12"/>
      <name val="Arial"/>
      <family val="2"/>
    </font>
    <font>
      <u/>
      <sz val="8"/>
      <name val="Arial"/>
      <family val="2"/>
    </font>
    <font>
      <sz val="10"/>
      <color indexed="17"/>
      <name val="Arial"/>
      <family val="2"/>
    </font>
    <font>
      <b/>
      <sz val="10"/>
      <color indexed="12"/>
      <name val="Arial"/>
      <family val="2"/>
    </font>
    <font>
      <sz val="9"/>
      <color indexed="12"/>
      <name val="Arial"/>
      <family val="2"/>
    </font>
    <font>
      <sz val="10"/>
      <color indexed="12"/>
      <name val="Arial"/>
      <family val="2"/>
    </font>
    <font>
      <sz val="9"/>
      <color indexed="17"/>
      <name val="Arial"/>
      <family val="2"/>
    </font>
    <font>
      <b/>
      <u val="singleAccounting"/>
      <sz val="10"/>
      <color indexed="17"/>
      <name val="Arial"/>
      <family val="2"/>
    </font>
    <font>
      <b/>
      <i/>
      <sz val="10"/>
      <name val="Arial"/>
      <family val="2"/>
    </font>
    <font>
      <b/>
      <u val="doubleAccounting"/>
      <sz val="10"/>
      <color indexed="17"/>
      <name val="Arial"/>
      <family val="2"/>
    </font>
    <font>
      <sz val="10"/>
      <color indexed="12"/>
      <name val="Arial"/>
      <family val="2"/>
    </font>
    <font>
      <b/>
      <sz val="10"/>
      <color rgb="FF00823B"/>
      <name val="Arial"/>
      <family val="2"/>
    </font>
    <font>
      <b/>
      <sz val="10"/>
      <color rgb="FF006C31"/>
      <name val="Arial"/>
      <family val="2"/>
    </font>
    <font>
      <b/>
      <sz val="10"/>
      <color rgb="FF008000"/>
      <name val="Arial"/>
      <family val="2"/>
    </font>
    <font>
      <b/>
      <sz val="8"/>
      <color rgb="FF008000"/>
      <name val="Arial"/>
      <family val="2"/>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35">
    <border>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727">
    <xf numFmtId="0" fontId="0" fillId="0" borderId="0" xfId="0"/>
    <xf numFmtId="0" fontId="0" fillId="0" borderId="0" xfId="0" applyProtection="1">
      <protection hidden="1"/>
    </xf>
    <xf numFmtId="0" fontId="4" fillId="0" borderId="0" xfId="0" applyFont="1" applyAlignment="1" applyProtection="1">
      <alignment horizontal="center" vertical="top"/>
      <protection hidden="1"/>
    </xf>
    <xf numFmtId="0" fontId="5" fillId="0" borderId="0" xfId="0" applyFont="1" applyProtection="1">
      <protection hidden="1"/>
    </xf>
    <xf numFmtId="0" fontId="4" fillId="0" borderId="1" xfId="0" applyFont="1" applyBorder="1" applyAlignment="1" applyProtection="1">
      <alignment horizontal="center" vertical="top"/>
      <protection hidden="1"/>
    </xf>
    <xf numFmtId="0" fontId="4" fillId="0" borderId="2" xfId="0" applyFont="1" applyBorder="1" applyAlignment="1" applyProtection="1">
      <alignment horizontal="center" wrapText="1"/>
      <protection hidden="1"/>
    </xf>
    <xf numFmtId="0" fontId="4" fillId="0" borderId="3" xfId="0" applyFont="1" applyBorder="1" applyAlignment="1" applyProtection="1">
      <alignment horizontal="center" wrapText="1"/>
      <protection hidden="1"/>
    </xf>
    <xf numFmtId="0" fontId="4" fillId="0" borderId="4" xfId="0" applyFont="1" applyBorder="1" applyAlignment="1" applyProtection="1">
      <alignment horizontal="center" wrapText="1"/>
      <protection hidden="1"/>
    </xf>
    <xf numFmtId="38" fontId="6" fillId="0" borderId="5" xfId="1" applyNumberFormat="1" applyFont="1" applyBorder="1" applyAlignment="1" applyProtection="1">
      <alignment horizontal="left"/>
      <protection hidden="1"/>
    </xf>
    <xf numFmtId="0" fontId="6" fillId="0" borderId="0" xfId="0" applyFont="1" applyProtection="1">
      <protection hidden="1"/>
    </xf>
    <xf numFmtId="3" fontId="4" fillId="0" borderId="6" xfId="0" applyNumberFormat="1" applyFont="1" applyBorder="1" applyAlignment="1" applyProtection="1">
      <alignment horizontal="center"/>
      <protection hidden="1"/>
    </xf>
    <xf numFmtId="38" fontId="6" fillId="0" borderId="7" xfId="1" applyNumberFormat="1" applyFont="1" applyBorder="1" applyAlignment="1" applyProtection="1">
      <alignment horizontal="left"/>
      <protection hidden="1"/>
    </xf>
    <xf numFmtId="0" fontId="6" fillId="0" borderId="7" xfId="0" applyFont="1" applyBorder="1" applyProtection="1">
      <protection hidden="1"/>
    </xf>
    <xf numFmtId="3" fontId="0" fillId="0" borderId="0" xfId="0" applyNumberFormat="1" applyBorder="1" applyProtection="1">
      <protection hidden="1"/>
    </xf>
    <xf numFmtId="3" fontId="0" fillId="0" borderId="8" xfId="0" applyNumberFormat="1" applyBorder="1" applyProtection="1">
      <protection hidden="1"/>
    </xf>
    <xf numFmtId="0" fontId="6" fillId="0" borderId="7" xfId="0" applyFont="1" applyBorder="1" applyAlignment="1" applyProtection="1">
      <protection hidden="1"/>
    </xf>
    <xf numFmtId="3" fontId="0" fillId="0" borderId="9" xfId="0" applyNumberFormat="1" applyBorder="1" applyProtection="1">
      <protection hidden="1"/>
    </xf>
    <xf numFmtId="0" fontId="6" fillId="0" borderId="0" xfId="0" applyFont="1" applyBorder="1" applyProtection="1">
      <protection hidden="1"/>
    </xf>
    <xf numFmtId="0" fontId="6" fillId="0" borderId="0" xfId="0" applyFont="1" applyFill="1" applyBorder="1" applyProtection="1">
      <protection hidden="1"/>
    </xf>
    <xf numFmtId="0" fontId="6" fillId="0" borderId="10" xfId="0" applyFont="1" applyBorder="1" applyProtection="1">
      <protection hidden="1"/>
    </xf>
    <xf numFmtId="0" fontId="6" fillId="0" borderId="11" xfId="0" applyFont="1" applyBorder="1" applyProtection="1">
      <protection hidden="1"/>
    </xf>
    <xf numFmtId="0" fontId="0" fillId="0" borderId="0" xfId="0" applyAlignment="1" applyProtection="1">
      <alignment horizontal="right"/>
      <protection hidden="1"/>
    </xf>
    <xf numFmtId="165" fontId="0" fillId="0" borderId="0" xfId="0" applyNumberFormat="1" applyAlignment="1" applyProtection="1">
      <alignment horizontal="left"/>
      <protection hidden="1"/>
    </xf>
    <xf numFmtId="0" fontId="6" fillId="0" borderId="0" xfId="0" applyFont="1"/>
    <xf numFmtId="38" fontId="6" fillId="0" borderId="0" xfId="1" applyNumberFormat="1" applyFont="1" applyBorder="1" applyAlignment="1" applyProtection="1">
      <alignment horizontal="left"/>
      <protection hidden="1"/>
    </xf>
    <xf numFmtId="0" fontId="6" fillId="0" borderId="0" xfId="0" applyFont="1" applyFill="1" applyBorder="1" applyAlignment="1"/>
    <xf numFmtId="0" fontId="9" fillId="0" borderId="0" xfId="0" applyFont="1" applyProtection="1">
      <protection hidden="1"/>
    </xf>
    <xf numFmtId="0" fontId="9" fillId="0" borderId="0" xfId="0" applyFont="1" applyAlignment="1" applyProtection="1">
      <protection hidden="1"/>
    </xf>
    <xf numFmtId="0" fontId="4" fillId="0" borderId="0" xfId="0" applyFont="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Alignment="1" applyProtection="1">
      <protection hidden="1"/>
    </xf>
    <xf numFmtId="49" fontId="6" fillId="0" borderId="0" xfId="0" applyNumberFormat="1" applyFont="1" applyAlignment="1" applyProtection="1">
      <alignment horizontal="right"/>
      <protection hidden="1"/>
    </xf>
    <xf numFmtId="0" fontId="15" fillId="0" borderId="11" xfId="0" applyFont="1" applyBorder="1" applyAlignment="1" applyProtection="1">
      <alignment horizontal="center"/>
      <protection hidden="1"/>
    </xf>
    <xf numFmtId="0" fontId="11" fillId="0" borderId="0" xfId="0" applyFont="1" applyProtection="1">
      <protection hidden="1"/>
    </xf>
    <xf numFmtId="0" fontId="6" fillId="0" borderId="0" xfId="0" applyFont="1" applyAlignment="1" applyProtection="1">
      <alignment horizontal="right"/>
      <protection hidden="1"/>
    </xf>
    <xf numFmtId="0" fontId="7" fillId="0" borderId="0" xfId="0" applyFont="1" applyProtection="1">
      <protection hidden="1"/>
    </xf>
    <xf numFmtId="0" fontId="4" fillId="0" borderId="0" xfId="0" applyFont="1" applyProtection="1">
      <protection hidden="1"/>
    </xf>
    <xf numFmtId="0" fontId="4" fillId="0" borderId="0" xfId="0" applyFont="1" applyBorder="1" applyAlignment="1" applyProtection="1">
      <protection hidden="1"/>
    </xf>
    <xf numFmtId="0" fontId="6"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166" fontId="15" fillId="0" borderId="11" xfId="0" applyNumberFormat="1" applyFont="1" applyBorder="1" applyAlignment="1" applyProtection="1">
      <alignment horizontal="center" vertical="center"/>
      <protection hidden="1"/>
    </xf>
    <xf numFmtId="0" fontId="12" fillId="0" borderId="0" xfId="2" applyFont="1" applyFill="1" applyAlignment="1" applyProtection="1">
      <protection hidden="1"/>
    </xf>
    <xf numFmtId="0" fontId="4" fillId="0" borderId="0" xfId="0" applyFont="1" applyAlignment="1" applyProtection="1">
      <protection hidden="1"/>
    </xf>
    <xf numFmtId="0" fontId="6" fillId="0" borderId="0" xfId="0" applyFont="1" applyAlignment="1" applyProtection="1">
      <alignment horizontal="left"/>
      <protection hidden="1"/>
    </xf>
    <xf numFmtId="0" fontId="6" fillId="0" borderId="0" xfId="0" applyFont="1" applyBorder="1" applyAlignment="1" applyProtection="1">
      <protection hidden="1"/>
    </xf>
    <xf numFmtId="0" fontId="17" fillId="0" borderId="0" xfId="0" applyFont="1" applyProtection="1">
      <protection hidden="1"/>
    </xf>
    <xf numFmtId="0" fontId="8" fillId="0" borderId="0" xfId="0" applyFont="1" applyAlignment="1" applyProtection="1">
      <alignment horizontal="center" wrapText="1"/>
      <protection hidden="1"/>
    </xf>
    <xf numFmtId="0" fontId="6" fillId="0" borderId="12" xfId="0" applyFont="1" applyBorder="1" applyProtection="1">
      <protection hidden="1"/>
    </xf>
    <xf numFmtId="0" fontId="6" fillId="0" borderId="0" xfId="0" applyFont="1" applyFill="1" applyBorder="1" applyAlignment="1" applyProtection="1">
      <alignment horizontal="left"/>
      <protection hidden="1"/>
    </xf>
    <xf numFmtId="0" fontId="11" fillId="0" borderId="0" xfId="0" applyFont="1" applyAlignment="1" applyProtection="1">
      <alignment horizontal="center"/>
      <protection hidden="1"/>
    </xf>
    <xf numFmtId="169" fontId="15" fillId="0" borderId="0" xfId="0" applyNumberFormat="1" applyFont="1" applyBorder="1" applyAlignment="1" applyProtection="1">
      <alignment horizontal="right"/>
      <protection hidden="1"/>
    </xf>
    <xf numFmtId="0" fontId="4" fillId="0" borderId="12" xfId="0" applyFont="1" applyBorder="1" applyAlignment="1" applyProtection="1">
      <protection hidden="1"/>
    </xf>
    <xf numFmtId="169" fontId="6" fillId="0" borderId="0" xfId="0" applyNumberFormat="1" applyFont="1" applyBorder="1" applyAlignment="1" applyProtection="1">
      <protection hidden="1"/>
    </xf>
    <xf numFmtId="0" fontId="6" fillId="0" borderId="12" xfId="0" applyFont="1" applyBorder="1" applyAlignment="1" applyProtection="1">
      <protection hidden="1"/>
    </xf>
    <xf numFmtId="0" fontId="11" fillId="0" borderId="0" xfId="0" applyFont="1" applyAlignment="1" applyProtection="1">
      <protection hidden="1"/>
    </xf>
    <xf numFmtId="0" fontId="4" fillId="0" borderId="6"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1" xfId="0" applyFont="1" applyBorder="1" applyAlignment="1" applyProtection="1">
      <alignment horizontal="center"/>
      <protection hidden="1"/>
    </xf>
    <xf numFmtId="168" fontId="15" fillId="0" borderId="6" xfId="0" applyNumberFormat="1" applyFont="1" applyBorder="1" applyAlignment="1" applyProtection="1">
      <alignment horizontal="center"/>
      <protection hidden="1"/>
    </xf>
    <xf numFmtId="0" fontId="6" fillId="2" borderId="0" xfId="0" applyFont="1" applyFill="1" applyProtection="1">
      <protection hidden="1"/>
    </xf>
    <xf numFmtId="0" fontId="6" fillId="0" borderId="6" xfId="0" applyFont="1" applyBorder="1" applyProtection="1">
      <protection hidden="1"/>
    </xf>
    <xf numFmtId="0" fontId="4" fillId="0" borderId="6" xfId="0" applyFont="1" applyBorder="1" applyAlignment="1" applyProtection="1">
      <alignment horizontal="right"/>
      <protection hidden="1"/>
    </xf>
    <xf numFmtId="0" fontId="6" fillId="0" borderId="11" xfId="0" applyFont="1" applyBorder="1" applyAlignment="1" applyProtection="1">
      <alignment horizontal="center"/>
      <protection hidden="1"/>
    </xf>
    <xf numFmtId="169" fontId="15" fillId="0" borderId="6" xfId="0" applyNumberFormat="1" applyFont="1" applyBorder="1" applyProtection="1">
      <protection hidden="1"/>
    </xf>
    <xf numFmtId="0" fontId="15" fillId="0" borderId="6" xfId="0" applyFont="1" applyBorder="1" applyAlignment="1" applyProtection="1">
      <alignment horizontal="center"/>
      <protection hidden="1"/>
    </xf>
    <xf numFmtId="169" fontId="15" fillId="0" borderId="15" xfId="0" applyNumberFormat="1" applyFont="1" applyBorder="1" applyAlignment="1" applyProtection="1">
      <protection hidden="1"/>
    </xf>
    <xf numFmtId="3" fontId="15" fillId="0" borderId="6" xfId="0" applyNumberFormat="1" applyFont="1" applyBorder="1" applyAlignment="1" applyProtection="1">
      <protection hidden="1"/>
    </xf>
    <xf numFmtId="0" fontId="15" fillId="0" borderId="0" xfId="0" applyFont="1" applyBorder="1" applyAlignment="1" applyProtection="1">
      <alignment horizontal="left" vertical="top" wrapText="1"/>
      <protection hidden="1"/>
    </xf>
    <xf numFmtId="166" fontId="4" fillId="0" borderId="0" xfId="0" applyNumberFormat="1" applyFont="1" applyAlignment="1" applyProtection="1">
      <alignment vertical="top" wrapText="1"/>
      <protection hidden="1"/>
    </xf>
    <xf numFmtId="3" fontId="15" fillId="0" borderId="16" xfId="0" applyNumberFormat="1" applyFont="1" applyBorder="1" applyAlignment="1" applyProtection="1">
      <alignment horizontal="center"/>
      <protection hidden="1"/>
    </xf>
    <xf numFmtId="10" fontId="15" fillId="0" borderId="0" xfId="0" applyNumberFormat="1" applyFont="1" applyProtection="1">
      <protection hidden="1"/>
    </xf>
    <xf numFmtId="10" fontId="15" fillId="0" borderId="0" xfId="0" applyNumberFormat="1" applyFont="1" applyAlignment="1" applyProtection="1">
      <alignment horizontal="center"/>
      <protection hidden="1"/>
    </xf>
    <xf numFmtId="0" fontId="11" fillId="0" borderId="11" xfId="0" applyFont="1" applyBorder="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Alignment="1" applyProtection="1">
      <alignment horizontal="left"/>
      <protection hidden="1"/>
    </xf>
    <xf numFmtId="0" fontId="9" fillId="0" borderId="0" xfId="0" applyFont="1" applyAlignment="1" applyProtection="1">
      <alignment horizontal="right"/>
      <protection hidden="1"/>
    </xf>
    <xf numFmtId="0" fontId="6" fillId="0" borderId="0" xfId="0" applyFont="1" applyAlignment="1" applyProtection="1">
      <alignment horizontal="left" vertical="top" wrapText="1"/>
      <protection hidden="1"/>
    </xf>
    <xf numFmtId="169" fontId="14" fillId="0" borderId="6" xfId="0" applyNumberFormat="1" applyFont="1" applyBorder="1" applyAlignment="1" applyProtection="1">
      <alignment horizontal="center"/>
      <protection hidden="1"/>
    </xf>
    <xf numFmtId="4" fontId="14" fillId="0" borderId="6" xfId="0" applyNumberFormat="1" applyFont="1" applyBorder="1" applyAlignment="1" applyProtection="1">
      <alignment horizontal="center"/>
      <protection hidden="1"/>
    </xf>
    <xf numFmtId="2" fontId="14" fillId="0" borderId="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0" fillId="0" borderId="0" xfId="0" applyAlignment="1">
      <alignment horizontal="right"/>
    </xf>
    <xf numFmtId="9" fontId="15" fillId="0" borderId="6" xfId="0" applyNumberFormat="1" applyFont="1" applyBorder="1" applyAlignment="1" applyProtection="1">
      <alignment horizontal="center"/>
      <protection hidden="1"/>
    </xf>
    <xf numFmtId="0" fontId="15" fillId="0" borderId="0" xfId="0" applyFont="1" applyBorder="1" applyAlignment="1" applyProtection="1">
      <alignment horizontal="center"/>
      <protection hidden="1"/>
    </xf>
    <xf numFmtId="0" fontId="21" fillId="0" borderId="17" xfId="0" applyFont="1" applyBorder="1" applyAlignment="1" applyProtection="1">
      <alignment horizontal="center"/>
      <protection hidden="1"/>
    </xf>
    <xf numFmtId="0" fontId="21" fillId="0" borderId="0" xfId="0" applyFont="1" applyBorder="1" applyAlignment="1" applyProtection="1">
      <alignment horizontal="center"/>
      <protection hidden="1"/>
    </xf>
    <xf numFmtId="43" fontId="21" fillId="0" borderId="16" xfId="1" applyFont="1" applyBorder="1" applyProtection="1">
      <protection hidden="1"/>
    </xf>
    <xf numFmtId="0" fontId="0" fillId="0" borderId="0" xfId="0" applyBorder="1" applyAlignment="1" applyProtection="1">
      <alignment horizontal="center"/>
      <protection hidden="1"/>
    </xf>
    <xf numFmtId="0" fontId="0" fillId="0" borderId="9" xfId="0" applyBorder="1" applyAlignment="1" applyProtection="1">
      <alignment horizontal="left"/>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right"/>
      <protection hidden="1"/>
    </xf>
    <xf numFmtId="0" fontId="0" fillId="0" borderId="0" xfId="0" applyBorder="1" applyAlignment="1" applyProtection="1">
      <alignment horizontal="left"/>
      <protection hidden="1"/>
    </xf>
    <xf numFmtId="0" fontId="22" fillId="0" borderId="0" xfId="0" applyFont="1" applyBorder="1" applyAlignment="1" applyProtection="1">
      <alignment horizontal="left"/>
      <protection hidden="1"/>
    </xf>
    <xf numFmtId="0" fontId="21" fillId="0" borderId="9" xfId="0" applyFont="1" applyBorder="1" applyAlignment="1" applyProtection="1">
      <alignment horizontal="center"/>
      <protection hidden="1"/>
    </xf>
    <xf numFmtId="0" fontId="21" fillId="0" borderId="18" xfId="0" applyFont="1" applyBorder="1" applyAlignment="1" applyProtection="1">
      <alignment horizontal="center"/>
      <protection hidden="1"/>
    </xf>
    <xf numFmtId="0" fontId="9" fillId="0" borderId="9" xfId="0" applyFont="1" applyBorder="1" applyAlignment="1" applyProtection="1">
      <alignment horizontal="center"/>
      <protection hidden="1"/>
    </xf>
    <xf numFmtId="43" fontId="9" fillId="0" borderId="0" xfId="1" applyFont="1" applyBorder="1" applyProtection="1">
      <protection hidden="1"/>
    </xf>
    <xf numFmtId="0" fontId="21" fillId="0" borderId="15" xfId="0" applyFont="1" applyBorder="1" applyAlignment="1" applyProtection="1">
      <alignment horizontal="center"/>
      <protection hidden="1"/>
    </xf>
    <xf numFmtId="49" fontId="6" fillId="0" borderId="0" xfId="0" applyNumberFormat="1" applyFont="1" applyProtection="1">
      <protection hidden="1"/>
    </xf>
    <xf numFmtId="2" fontId="15" fillId="0" borderId="6" xfId="0" applyNumberFormat="1" applyFont="1" applyBorder="1" applyAlignment="1" applyProtection="1">
      <alignment horizontal="center"/>
      <protection hidden="1"/>
    </xf>
    <xf numFmtId="1" fontId="15" fillId="0" borderId="6" xfId="0" applyNumberFormat="1" applyFont="1" applyBorder="1" applyAlignment="1" applyProtection="1">
      <alignment horizontal="center"/>
      <protection hidden="1"/>
    </xf>
    <xf numFmtId="43" fontId="9" fillId="0" borderId="0" xfId="1" applyFont="1" applyBorder="1" applyAlignment="1" applyProtection="1">
      <alignment horizontal="right"/>
      <protection hidden="1"/>
    </xf>
    <xf numFmtId="3" fontId="15" fillId="0" borderId="6" xfId="0" applyNumberFormat="1" applyFont="1" applyBorder="1" applyProtection="1">
      <protection hidden="1"/>
    </xf>
    <xf numFmtId="2" fontId="15" fillId="0" borderId="0" xfId="0" applyNumberFormat="1" applyFont="1" applyBorder="1" applyAlignment="1" applyProtection="1">
      <alignment horizontal="center"/>
      <protection hidden="1"/>
    </xf>
    <xf numFmtId="43" fontId="21" fillId="0" borderId="16" xfId="1" applyFont="1" applyBorder="1" applyAlignment="1" applyProtection="1">
      <alignment horizontal="right"/>
      <protection hidden="1"/>
    </xf>
    <xf numFmtId="1" fontId="4" fillId="0" borderId="3" xfId="0" applyNumberFormat="1" applyFont="1" applyBorder="1" applyAlignment="1" applyProtection="1">
      <alignment horizontal="center" wrapText="1"/>
      <protection hidden="1"/>
    </xf>
    <xf numFmtId="0" fontId="4" fillId="0" borderId="17" xfId="0" applyFont="1" applyBorder="1" applyAlignment="1" applyProtection="1">
      <protection hidden="1"/>
    </xf>
    <xf numFmtId="3" fontId="0" fillId="0" borderId="19" xfId="0" applyNumberFormat="1" applyBorder="1" applyProtection="1">
      <protection hidden="1"/>
    </xf>
    <xf numFmtId="3" fontId="0" fillId="0" borderId="13" xfId="0" applyNumberFormat="1" applyBorder="1" applyProtection="1">
      <protection hidden="1"/>
    </xf>
    <xf numFmtId="3" fontId="0" fillId="0" borderId="14" xfId="0" applyNumberFormat="1" applyBorder="1" applyProtection="1">
      <protection hidden="1"/>
    </xf>
    <xf numFmtId="0" fontId="19" fillId="0" borderId="20" xfId="0" applyFont="1" applyBorder="1" applyAlignment="1" applyProtection="1">
      <alignment horizontal="center"/>
      <protection hidden="1"/>
    </xf>
    <xf numFmtId="0" fontId="18" fillId="0" borderId="0" xfId="0" applyFont="1" applyProtection="1">
      <protection hidden="1"/>
    </xf>
    <xf numFmtId="0" fontId="11" fillId="0" borderId="0" xfId="0" applyFont="1" applyBorder="1" applyAlignment="1" applyProtection="1">
      <protection hidden="1"/>
    </xf>
    <xf numFmtId="169" fontId="15" fillId="0" borderId="0" xfId="0" applyNumberFormat="1" applyFont="1" applyBorder="1" applyAlignment="1" applyProtection="1">
      <protection hidden="1"/>
    </xf>
    <xf numFmtId="0" fontId="0" fillId="0" borderId="0" xfId="0" applyBorder="1" applyProtection="1">
      <protection hidden="1"/>
    </xf>
    <xf numFmtId="0" fontId="0" fillId="0" borderId="0" xfId="0" applyAlignment="1" applyProtection="1">
      <protection hidden="1"/>
    </xf>
    <xf numFmtId="10" fontId="15" fillId="0" borderId="6" xfId="0" applyNumberFormat="1" applyFont="1" applyBorder="1" applyProtection="1">
      <protection hidden="1"/>
    </xf>
    <xf numFmtId="169" fontId="25" fillId="0" borderId="12" xfId="0" applyNumberFormat="1" applyFont="1" applyBorder="1" applyAlignment="1" applyProtection="1">
      <protection hidden="1"/>
    </xf>
    <xf numFmtId="0" fontId="26" fillId="0" borderId="0" xfId="0" applyFont="1" applyAlignment="1" applyProtection="1">
      <protection hidden="1"/>
    </xf>
    <xf numFmtId="0" fontId="6" fillId="0" borderId="9" xfId="0" applyFont="1" applyBorder="1" applyAlignment="1" applyProtection="1">
      <protection hidden="1"/>
    </xf>
    <xf numFmtId="0" fontId="14" fillId="0" borderId="11" xfId="0" applyFont="1" applyBorder="1" applyAlignment="1" applyProtection="1">
      <alignment horizontal="left"/>
      <protection hidden="1"/>
    </xf>
    <xf numFmtId="0" fontId="17" fillId="0" borderId="0" xfId="0" applyNumberFormat="1" applyFont="1" applyBorder="1" applyAlignment="1" applyProtection="1">
      <protection hidden="1"/>
    </xf>
    <xf numFmtId="0" fontId="14" fillId="0" borderId="0" xfId="0" applyNumberFormat="1" applyFont="1" applyBorder="1" applyAlignment="1" applyProtection="1">
      <alignment vertical="top" wrapText="1"/>
      <protection hidden="1"/>
    </xf>
    <xf numFmtId="1" fontId="4" fillId="0" borderId="2" xfId="0" applyNumberFormat="1" applyFont="1" applyBorder="1" applyAlignment="1" applyProtection="1">
      <alignment horizontal="center" wrapText="1"/>
      <protection hidden="1"/>
    </xf>
    <xf numFmtId="0" fontId="6" fillId="0" borderId="0" xfId="0" applyFont="1" applyAlignment="1" applyProtection="1">
      <alignment vertical="top" wrapText="1"/>
      <protection hidden="1"/>
    </xf>
    <xf numFmtId="0" fontId="15" fillId="0" borderId="16" xfId="0" applyFont="1" applyBorder="1" applyAlignment="1" applyProtection="1">
      <alignment horizontal="center"/>
      <protection hidden="1"/>
    </xf>
    <xf numFmtId="0" fontId="15" fillId="0" borderId="0" xfId="0" applyFont="1" applyBorder="1" applyAlignment="1" applyProtection="1">
      <protection hidden="1"/>
    </xf>
    <xf numFmtId="0" fontId="4" fillId="0" borderId="0" xfId="0" applyFont="1" applyAlignment="1" applyProtection="1">
      <alignment vertical="top"/>
      <protection hidden="1"/>
    </xf>
    <xf numFmtId="0" fontId="4" fillId="0" borderId="0" xfId="0" applyFont="1" applyFill="1" applyAlignment="1" applyProtection="1">
      <alignment horizontal="center"/>
      <protection hidden="1"/>
    </xf>
    <xf numFmtId="0" fontId="15" fillId="0" borderId="16" xfId="0" applyFont="1" applyBorder="1" applyAlignment="1" applyProtection="1">
      <protection hidden="1"/>
    </xf>
    <xf numFmtId="169" fontId="15" fillId="0" borderId="11" xfId="0" applyNumberFormat="1" applyFont="1" applyBorder="1" applyAlignment="1" applyProtection="1">
      <alignment horizontal="right"/>
      <protection hidden="1"/>
    </xf>
    <xf numFmtId="169" fontId="19" fillId="0" borderId="11" xfId="0" applyNumberFormat="1" applyFont="1" applyBorder="1" applyProtection="1">
      <protection hidden="1"/>
    </xf>
    <xf numFmtId="0" fontId="6" fillId="0" borderId="0" xfId="0" applyFont="1" applyAlignment="1" applyProtection="1">
      <alignment horizontal="justify" vertical="top" wrapText="1"/>
      <protection hidden="1"/>
    </xf>
    <xf numFmtId="0" fontId="6" fillId="0" borderId="0" xfId="0" applyFont="1" applyFill="1" applyBorder="1" applyAlignment="1" applyProtection="1">
      <protection hidden="1"/>
    </xf>
    <xf numFmtId="166" fontId="14" fillId="3" borderId="22" xfId="0" applyNumberFormat="1" applyFont="1" applyFill="1" applyBorder="1" applyAlignment="1" applyProtection="1">
      <alignment horizontal="center" vertical="center"/>
      <protection hidden="1"/>
    </xf>
    <xf numFmtId="166" fontId="14" fillId="3" borderId="22" xfId="0" applyNumberFormat="1" applyFont="1" applyFill="1" applyBorder="1" applyAlignment="1" applyProtection="1">
      <alignment horizontal="center" vertical="center"/>
      <protection locked="0"/>
    </xf>
    <xf numFmtId="0" fontId="6" fillId="0" borderId="0" xfId="0" applyFont="1" applyFill="1" applyProtection="1">
      <protection hidden="1"/>
    </xf>
    <xf numFmtId="166" fontId="14" fillId="3" borderId="22" xfId="0" applyNumberFormat="1" applyFont="1" applyFill="1" applyBorder="1" applyAlignment="1" applyProtection="1">
      <alignment horizontal="center" vertical="center"/>
      <protection locked="0" hidden="1"/>
    </xf>
    <xf numFmtId="0" fontId="15" fillId="3" borderId="11" xfId="0" applyFont="1" applyFill="1" applyBorder="1" applyAlignment="1" applyProtection="1">
      <alignment horizontal="center"/>
      <protection locked="0"/>
    </xf>
    <xf numFmtId="2" fontId="15" fillId="3" borderId="11" xfId="0" applyNumberFormat="1" applyFont="1" applyFill="1" applyBorder="1" applyAlignment="1" applyProtection="1">
      <alignment horizontal="center"/>
      <protection locked="0"/>
    </xf>
    <xf numFmtId="0" fontId="15" fillId="3" borderId="11" xfId="0" applyFont="1" applyFill="1" applyBorder="1" applyProtection="1">
      <protection locked="0" hidden="1"/>
    </xf>
    <xf numFmtId="10" fontId="15" fillId="3" borderId="11" xfId="0" applyNumberFormat="1" applyFont="1" applyFill="1" applyBorder="1" applyProtection="1">
      <protection locked="0"/>
    </xf>
    <xf numFmtId="10" fontId="15" fillId="3" borderId="16" xfId="0" applyNumberFormat="1" applyFont="1" applyFill="1" applyBorder="1" applyProtection="1">
      <protection locked="0"/>
    </xf>
    <xf numFmtId="0" fontId="14" fillId="3" borderId="11" xfId="0" applyFont="1" applyFill="1" applyBorder="1" applyAlignment="1" applyProtection="1">
      <alignment horizontal="center"/>
      <protection locked="0"/>
    </xf>
    <xf numFmtId="0" fontId="15" fillId="3" borderId="16" xfId="0" applyFont="1" applyFill="1" applyBorder="1" applyAlignment="1" applyProtection="1">
      <alignment horizontal="center"/>
      <protection locked="0"/>
    </xf>
    <xf numFmtId="3" fontId="15" fillId="3" borderId="11" xfId="0" applyNumberFormat="1" applyFont="1" applyFill="1" applyBorder="1" applyAlignment="1" applyProtection="1">
      <alignment horizontal="center"/>
      <protection locked="0"/>
    </xf>
    <xf numFmtId="171" fontId="15" fillId="3" borderId="11" xfId="0" applyNumberFormat="1" applyFont="1" applyFill="1" applyBorder="1" applyAlignment="1" applyProtection="1">
      <alignment horizontal="center"/>
      <protection locked="0" hidden="1"/>
    </xf>
    <xf numFmtId="166" fontId="10" fillId="3" borderId="22" xfId="0" applyNumberFormat="1" applyFont="1" applyFill="1" applyBorder="1" applyAlignment="1" applyProtection="1">
      <alignment horizontal="center" vertical="center"/>
      <protection locked="0"/>
    </xf>
    <xf numFmtId="0" fontId="15" fillId="3" borderId="11" xfId="0" applyNumberFormat="1" applyFont="1" applyFill="1" applyBorder="1" applyAlignment="1" applyProtection="1">
      <alignment horizontal="center"/>
      <protection locked="0"/>
    </xf>
    <xf numFmtId="10" fontId="15" fillId="3" borderId="10" xfId="0" applyNumberFormat="1" applyFont="1" applyFill="1" applyBorder="1" applyProtection="1">
      <protection locked="0"/>
    </xf>
    <xf numFmtId="0" fontId="15" fillId="3" borderId="10" xfId="0" applyFont="1" applyFill="1" applyBorder="1" applyAlignment="1" applyProtection="1">
      <alignment horizontal="center"/>
      <protection locked="0"/>
    </xf>
    <xf numFmtId="0" fontId="19" fillId="3" borderId="10"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168" fontId="15" fillId="3" borderId="6" xfId="0" applyNumberFormat="1" applyFont="1" applyFill="1" applyBorder="1" applyAlignment="1" applyProtection="1">
      <alignment horizontal="center"/>
      <protection locked="0"/>
    </xf>
    <xf numFmtId="0" fontId="15" fillId="3" borderId="6" xfId="0" applyFont="1" applyFill="1" applyBorder="1" applyAlignment="1" applyProtection="1">
      <alignment horizontal="center"/>
      <protection locked="0" hidden="1"/>
    </xf>
    <xf numFmtId="3" fontId="15" fillId="3" borderId="6" xfId="0" applyNumberFormat="1" applyFont="1" applyFill="1" applyBorder="1" applyAlignment="1" applyProtection="1">
      <alignment horizontal="right"/>
      <protection locked="0" hidden="1"/>
    </xf>
    <xf numFmtId="0" fontId="15" fillId="3" borderId="13" xfId="0" applyFont="1" applyFill="1" applyBorder="1" applyAlignment="1" applyProtection="1">
      <alignment horizontal="center"/>
      <protection locked="0"/>
    </xf>
    <xf numFmtId="0" fontId="4" fillId="0" borderId="11" xfId="0" applyFont="1" applyBorder="1" applyAlignment="1" applyProtection="1">
      <alignment horizontal="left"/>
      <protection hidden="1"/>
    </xf>
    <xf numFmtId="49" fontId="24" fillId="0" borderId="0" xfId="0" applyNumberFormat="1" applyFont="1" applyAlignment="1" applyProtection="1">
      <alignment horizontal="center" vertical="center"/>
      <protection hidden="1"/>
    </xf>
    <xf numFmtId="49" fontId="24" fillId="0" borderId="0" xfId="0" applyNumberFormat="1" applyFont="1" applyBorder="1" applyAlignment="1" applyProtection="1">
      <alignment horizontal="center" vertical="center"/>
      <protection hidden="1"/>
    </xf>
    <xf numFmtId="0" fontId="0" fillId="0" borderId="0" xfId="0" applyAlignment="1" applyProtection="1">
      <alignment horizontal="center"/>
      <protection hidden="1"/>
    </xf>
    <xf numFmtId="0" fontId="6" fillId="0" borderId="6" xfId="0" applyFont="1" applyBorder="1" applyAlignment="1" applyProtection="1">
      <alignment horizontal="left"/>
      <protection hidden="1"/>
    </xf>
    <xf numFmtId="0" fontId="6" fillId="0" borderId="0" xfId="0" applyFont="1" applyFill="1" applyBorder="1" applyAlignment="1" applyProtection="1">
      <alignment vertical="top" wrapText="1"/>
      <protection hidden="1"/>
    </xf>
    <xf numFmtId="0" fontId="9" fillId="0" borderId="0" xfId="0" applyFont="1" applyAlignment="1" applyProtection="1">
      <alignment vertical="top" wrapText="1"/>
      <protection hidden="1"/>
    </xf>
    <xf numFmtId="49" fontId="6" fillId="0" borderId="0" xfId="0" applyNumberFormat="1" applyFont="1" applyAlignment="1" applyProtection="1">
      <protection hidden="1"/>
    </xf>
    <xf numFmtId="0" fontId="9" fillId="0" borderId="0" xfId="0" applyFont="1" applyAlignment="1" applyProtection="1">
      <alignment horizontal="center" vertical="top" wrapText="1"/>
      <protection hidden="1"/>
    </xf>
    <xf numFmtId="0" fontId="6" fillId="0" borderId="0" xfId="0" applyFont="1" applyFill="1" applyBorder="1" applyAlignment="1" applyProtection="1">
      <alignment horizontal="justify" wrapText="1"/>
      <protection hidden="1"/>
    </xf>
    <xf numFmtId="0" fontId="6" fillId="0" borderId="0" xfId="0" applyFont="1" applyFill="1" applyBorder="1" applyAlignment="1" applyProtection="1">
      <alignment wrapText="1"/>
      <protection hidden="1"/>
    </xf>
    <xf numFmtId="0" fontId="9" fillId="3" borderId="6" xfId="0" applyFont="1" applyFill="1" applyBorder="1" applyAlignment="1" applyProtection="1">
      <alignment horizontal="center"/>
      <protection locked="0"/>
    </xf>
    <xf numFmtId="0" fontId="6" fillId="0" borderId="9" xfId="0" applyFont="1" applyBorder="1" applyAlignment="1" applyProtection="1">
      <alignment horizontal="center"/>
      <protection hidden="1"/>
    </xf>
    <xf numFmtId="169" fontId="15" fillId="0" borderId="9" xfId="0" applyNumberFormat="1" applyFont="1" applyBorder="1" applyProtection="1">
      <protection hidden="1"/>
    </xf>
    <xf numFmtId="169" fontId="15" fillId="0" borderId="0" xfId="0" applyNumberFormat="1" applyFont="1" applyBorder="1" applyProtection="1">
      <protection hidden="1"/>
    </xf>
    <xf numFmtId="169" fontId="15" fillId="0" borderId="13" xfId="0" applyNumberFormat="1" applyFont="1" applyBorder="1" applyProtection="1">
      <protection hidden="1"/>
    </xf>
    <xf numFmtId="0" fontId="6" fillId="0" borderId="16" xfId="0" applyFont="1" applyBorder="1" applyAlignment="1" applyProtection="1">
      <protection hidden="1"/>
    </xf>
    <xf numFmtId="9" fontId="15" fillId="3" borderId="6" xfId="0" applyNumberFormat="1" applyFont="1" applyFill="1" applyBorder="1" applyAlignment="1" applyProtection="1">
      <alignment horizontal="center"/>
      <protection locked="0"/>
    </xf>
    <xf numFmtId="168" fontId="5" fillId="0" borderId="6" xfId="0" applyNumberFormat="1"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15" fillId="0" borderId="0" xfId="0" applyNumberFormat="1" applyFont="1" applyBorder="1" applyAlignment="1" applyProtection="1">
      <protection hidden="1"/>
    </xf>
    <xf numFmtId="169" fontId="15" fillId="0" borderId="8" xfId="0" applyNumberFormat="1" applyFont="1" applyBorder="1" applyAlignment="1" applyProtection="1">
      <protection hidden="1"/>
    </xf>
    <xf numFmtId="3" fontId="15" fillId="0" borderId="12" xfId="0" applyNumberFormat="1" applyFont="1" applyBorder="1" applyAlignment="1" applyProtection="1">
      <protection hidden="1"/>
    </xf>
    <xf numFmtId="169" fontId="15" fillId="3" borderId="6" xfId="0" applyNumberFormat="1" applyFont="1" applyFill="1" applyBorder="1" applyAlignment="1" applyProtection="1">
      <protection locked="0" hidden="1"/>
    </xf>
    <xf numFmtId="169" fontId="15" fillId="0" borderId="6" xfId="0" applyNumberFormat="1" applyFont="1" applyBorder="1" applyAlignment="1" applyProtection="1">
      <protection hidden="1"/>
    </xf>
    <xf numFmtId="3" fontId="15" fillId="0" borderId="6" xfId="0" applyNumberFormat="1" applyFont="1" applyBorder="1"/>
    <xf numFmtId="0" fontId="27" fillId="0" borderId="0" xfId="0" applyFont="1"/>
    <xf numFmtId="0" fontId="30" fillId="0" borderId="0" xfId="0" applyFont="1"/>
    <xf numFmtId="10" fontId="15" fillId="0" borderId="6" xfId="0" applyNumberFormat="1" applyFont="1" applyBorder="1"/>
    <xf numFmtId="9" fontId="6" fillId="0" borderId="0" xfId="0" applyNumberFormat="1" applyFont="1"/>
    <xf numFmtId="0" fontId="0" fillId="0" borderId="0" xfId="0" applyFont="1" applyFill="1" applyBorder="1" applyAlignment="1"/>
    <xf numFmtId="3" fontId="6" fillId="0" borderId="0" xfId="0" applyNumberFormat="1" applyFont="1" applyBorder="1" applyAlignment="1" applyProtection="1">
      <alignment horizontal="left"/>
      <protection hidden="1"/>
    </xf>
    <xf numFmtId="10" fontId="15" fillId="3" borderId="6" xfId="0" applyNumberFormat="1" applyFont="1" applyFill="1" applyBorder="1" applyAlignment="1" applyProtection="1">
      <alignment horizontal="center"/>
      <protection locked="0"/>
    </xf>
    <xf numFmtId="0" fontId="2" fillId="0" borderId="0" xfId="0" applyFont="1" applyAlignment="1" applyProtection="1">
      <alignment horizontal="right"/>
      <protection hidden="1"/>
    </xf>
    <xf numFmtId="168" fontId="15" fillId="0" borderId="6" xfId="0" applyNumberFormat="1" applyFont="1" applyBorder="1" applyProtection="1">
      <protection hidden="1"/>
    </xf>
    <xf numFmtId="9" fontId="2" fillId="0" borderId="0" xfId="0" applyNumberFormat="1" applyFont="1" applyAlignment="1" applyProtection="1">
      <alignment horizontal="left"/>
      <protection hidden="1"/>
    </xf>
    <xf numFmtId="9" fontId="2" fillId="0" borderId="0" xfId="0" applyNumberFormat="1" applyFont="1" applyProtection="1">
      <protection hidden="1"/>
    </xf>
    <xf numFmtId="2" fontId="14" fillId="0" borderId="0" xfId="0" applyNumberFormat="1" applyFont="1" applyBorder="1" applyAlignment="1" applyProtection="1">
      <alignment horizontal="center"/>
      <protection hidden="1"/>
    </xf>
    <xf numFmtId="169" fontId="14" fillId="0" borderId="0" xfId="0" applyNumberFormat="1" applyFont="1" applyBorder="1" applyAlignment="1" applyProtection="1">
      <alignment horizontal="center"/>
      <protection hidden="1"/>
    </xf>
    <xf numFmtId="4" fontId="14" fillId="0" borderId="0" xfId="0" applyNumberFormat="1" applyFont="1" applyBorder="1" applyAlignment="1" applyProtection="1">
      <alignment horizontal="center"/>
      <protection hidden="1"/>
    </xf>
    <xf numFmtId="2" fontId="15" fillId="0" borderId="12" xfId="0" applyNumberFormat="1" applyFont="1" applyBorder="1" applyAlignment="1" applyProtection="1">
      <alignment horizontal="center"/>
      <protection hidden="1"/>
    </xf>
    <xf numFmtId="2" fontId="18" fillId="0" borderId="0" xfId="0" applyNumberFormat="1" applyFont="1" applyFill="1" applyBorder="1" applyAlignment="1" applyProtection="1">
      <protection hidden="1"/>
    </xf>
    <xf numFmtId="0" fontId="19" fillId="3" borderId="6" xfId="0" applyFont="1" applyFill="1" applyBorder="1" applyAlignment="1" applyProtection="1">
      <alignment horizontal="center"/>
      <protection locked="0"/>
    </xf>
    <xf numFmtId="0" fontId="33" fillId="0" borderId="0" xfId="0" applyFont="1" applyFill="1" applyProtection="1">
      <protection hidden="1"/>
    </xf>
    <xf numFmtId="0" fontId="9" fillId="0" borderId="0" xfId="0" applyFont="1" applyAlignment="1" applyProtection="1">
      <alignment horizontal="center"/>
      <protection hidden="1"/>
    </xf>
    <xf numFmtId="0" fontId="36" fillId="0" borderId="0" xfId="0" applyFont="1" applyProtection="1">
      <protection hidden="1"/>
    </xf>
    <xf numFmtId="169" fontId="6" fillId="0" borderId="9" xfId="0" applyNumberFormat="1" applyFont="1" applyBorder="1" applyAlignment="1" applyProtection="1">
      <alignment horizontal="center"/>
      <protection hidden="1"/>
    </xf>
    <xf numFmtId="169" fontId="15" fillId="0" borderId="6" xfId="0" applyNumberFormat="1" applyFont="1" applyBorder="1" applyAlignment="1" applyProtection="1">
      <alignment horizontal="center"/>
      <protection hidden="1"/>
    </xf>
    <xf numFmtId="169" fontId="9" fillId="0" borderId="7" xfId="0" applyNumberFormat="1" applyFont="1" applyBorder="1" applyAlignment="1" applyProtection="1">
      <alignment horizontal="right"/>
      <protection hidden="1"/>
    </xf>
    <xf numFmtId="169" fontId="15" fillId="0" borderId="0" xfId="0" applyNumberFormat="1" applyFont="1" applyAlignment="1" applyProtection="1">
      <protection hidden="1"/>
    </xf>
    <xf numFmtId="169" fontId="17" fillId="0" borderId="0" xfId="0" applyNumberFormat="1" applyFont="1" applyAlignment="1" applyProtection="1">
      <protection hidden="1"/>
    </xf>
    <xf numFmtId="0" fontId="15" fillId="0" borderId="0" xfId="0" applyFont="1" applyAlignment="1" applyProtection="1">
      <protection hidden="1"/>
    </xf>
    <xf numFmtId="0" fontId="0" fillId="0" borderId="0" xfId="0" applyAlignment="1">
      <alignment horizontal="center"/>
    </xf>
    <xf numFmtId="0" fontId="6" fillId="0" borderId="6" xfId="0" applyFont="1" applyBorder="1" applyAlignment="1" applyProtection="1">
      <alignment horizontal="center"/>
      <protection hidden="1"/>
    </xf>
    <xf numFmtId="10" fontId="31" fillId="0" borderId="0" xfId="0" applyNumberFormat="1" applyFont="1" applyAlignment="1" applyProtection="1">
      <protection hidden="1"/>
    </xf>
    <xf numFmtId="169" fontId="38" fillId="0" borderId="0" xfId="0" applyNumberFormat="1" applyFont="1" applyAlignment="1" applyProtection="1">
      <protection hidden="1"/>
    </xf>
    <xf numFmtId="0" fontId="33" fillId="0" borderId="0" xfId="0" applyFont="1"/>
    <xf numFmtId="0" fontId="38" fillId="0" borderId="0" xfId="0" applyFont="1" applyAlignment="1" applyProtection="1">
      <alignment horizontal="center"/>
      <protection hidden="1"/>
    </xf>
    <xf numFmtId="10" fontId="31" fillId="0" borderId="0" xfId="0" applyNumberFormat="1" applyFont="1"/>
    <xf numFmtId="169" fontId="35" fillId="0" borderId="0" xfId="0" applyNumberFormat="1" applyFont="1" applyAlignment="1" applyProtection="1">
      <protection hidden="1"/>
    </xf>
    <xf numFmtId="169" fontId="37" fillId="0" borderId="0" xfId="0" applyNumberFormat="1" applyFont="1" applyAlignment="1"/>
    <xf numFmtId="169" fontId="15" fillId="0" borderId="0" xfId="0" applyNumberFormat="1" applyFont="1"/>
    <xf numFmtId="169" fontId="35" fillId="0" borderId="0" xfId="0" applyNumberFormat="1" applyFont="1"/>
    <xf numFmtId="169" fontId="37" fillId="0" borderId="0" xfId="0" applyNumberFormat="1" applyFont="1" applyAlignment="1" applyProtection="1">
      <protection hidden="1"/>
    </xf>
    <xf numFmtId="0" fontId="15" fillId="0" borderId="6" xfId="0" applyFont="1" applyBorder="1" applyAlignment="1">
      <alignment horizontal="center"/>
    </xf>
    <xf numFmtId="3" fontId="15" fillId="0" borderId="6" xfId="0" applyNumberFormat="1" applyFont="1" applyBorder="1" applyAlignment="1">
      <alignment horizontal="center"/>
    </xf>
    <xf numFmtId="10" fontId="15" fillId="0" borderId="6" xfId="0" applyNumberFormat="1" applyFont="1" applyBorder="1" applyAlignment="1">
      <alignment horizontal="center"/>
    </xf>
    <xf numFmtId="169" fontId="15" fillId="0" borderId="8" xfId="0" applyNumberFormat="1" applyFont="1" applyBorder="1"/>
    <xf numFmtId="168" fontId="15" fillId="0" borderId="6" xfId="0" applyNumberFormat="1" applyFont="1" applyBorder="1" applyAlignment="1" applyProtection="1">
      <alignment horizontal="right"/>
      <protection hidden="1"/>
    </xf>
    <xf numFmtId="10" fontId="31" fillId="0" borderId="6" xfId="0" applyNumberFormat="1" applyFont="1" applyBorder="1" applyProtection="1">
      <protection hidden="1"/>
    </xf>
    <xf numFmtId="0" fontId="9" fillId="0" borderId="9" xfId="0" applyFont="1" applyBorder="1" applyAlignment="1" applyProtection="1">
      <alignment horizontal="right"/>
      <protection hidden="1"/>
    </xf>
    <xf numFmtId="0" fontId="9" fillId="0" borderId="0" xfId="0" applyFont="1" applyBorder="1" applyAlignment="1" applyProtection="1">
      <alignment horizontal="right"/>
      <protection hidden="1"/>
    </xf>
    <xf numFmtId="0" fontId="6" fillId="0" borderId="0" xfId="0" applyFont="1" applyBorder="1" applyAlignment="1" applyProtection="1">
      <alignment wrapText="1"/>
      <protection hidden="1"/>
    </xf>
    <xf numFmtId="0" fontId="6" fillId="0" borderId="19" xfId="0" applyFont="1" applyBorder="1" applyAlignment="1" applyProtection="1">
      <alignment wrapText="1"/>
      <protection hidden="1"/>
    </xf>
    <xf numFmtId="10" fontId="31" fillId="0" borderId="6" xfId="0" applyNumberFormat="1" applyFont="1" applyBorder="1" applyAlignment="1" applyProtection="1">
      <alignment horizontal="center"/>
      <protection hidden="1"/>
    </xf>
    <xf numFmtId="0" fontId="9" fillId="0" borderId="21" xfId="0" applyFont="1" applyFill="1" applyBorder="1" applyAlignment="1" applyProtection="1">
      <alignment horizontal="right"/>
      <protection hidden="1"/>
    </xf>
    <xf numFmtId="0" fontId="4" fillId="0" borderId="0" xfId="0" applyFont="1"/>
    <xf numFmtId="168" fontId="15" fillId="0" borderId="0" xfId="0" applyNumberFormat="1" applyFont="1"/>
    <xf numFmtId="0" fontId="4" fillId="4" borderId="0" xfId="0" applyFont="1" applyFill="1" applyAlignment="1" applyProtection="1">
      <alignment horizontal="center"/>
      <protection hidden="1"/>
    </xf>
    <xf numFmtId="0" fontId="6" fillId="0" borderId="0" xfId="0" applyFont="1" applyFill="1" applyBorder="1" applyAlignment="1" applyProtection="1">
      <alignment horizontal="justify" vertical="top"/>
      <protection hidden="1"/>
    </xf>
    <xf numFmtId="0" fontId="6" fillId="0" borderId="0" xfId="0" applyFont="1" applyFill="1" applyBorder="1" applyAlignment="1" applyProtection="1">
      <alignment horizontal="justify" vertical="top" wrapText="1"/>
      <protection hidden="1"/>
    </xf>
    <xf numFmtId="0" fontId="13"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6" fillId="0" borderId="0" xfId="0" applyNumberFormat="1" applyFont="1" applyAlignment="1" applyProtection="1">
      <alignment horizontal="justify" vertical="top" wrapText="1"/>
      <protection hidden="1"/>
    </xf>
    <xf numFmtId="0" fontId="12" fillId="3" borderId="0" xfId="2" applyFont="1" applyFill="1" applyAlignment="1" applyProtection="1">
      <alignment horizontal="center" vertical="center"/>
    </xf>
    <xf numFmtId="0" fontId="15" fillId="0" borderId="12" xfId="0" applyFont="1" applyBorder="1" applyAlignment="1" applyProtection="1">
      <alignment horizontal="center"/>
      <protection hidden="1"/>
    </xf>
    <xf numFmtId="9" fontId="9" fillId="0" borderId="0" xfId="0" applyNumberFormat="1" applyFont="1" applyProtection="1">
      <protection hidden="1"/>
    </xf>
    <xf numFmtId="0" fontId="18" fillId="0" borderId="0" xfId="0" applyFont="1" applyAlignment="1" applyProtection="1">
      <alignment horizontal="center"/>
      <protection hidden="1"/>
    </xf>
    <xf numFmtId="10" fontId="31" fillId="0" borderId="16" xfId="0" applyNumberFormat="1" applyFont="1" applyBorder="1"/>
    <xf numFmtId="10" fontId="31" fillId="0" borderId="16" xfId="0" applyNumberFormat="1" applyFont="1" applyBorder="1" applyProtection="1">
      <protection hidden="1"/>
    </xf>
    <xf numFmtId="10" fontId="31" fillId="0" borderId="20" xfId="0" applyNumberFormat="1" applyFont="1" applyBorder="1" applyProtection="1">
      <protection hidden="1"/>
    </xf>
    <xf numFmtId="168" fontId="15" fillId="0" borderId="16" xfId="0" applyNumberFormat="1" applyFont="1" applyBorder="1" applyAlignment="1" applyProtection="1">
      <alignment horizontal="center"/>
      <protection hidden="1"/>
    </xf>
    <xf numFmtId="0" fontId="4" fillId="0" borderId="0" xfId="0" applyFont="1" applyAlignment="1">
      <alignment horizontal="center"/>
    </xf>
    <xf numFmtId="0" fontId="6" fillId="0" borderId="0" xfId="0" applyFont="1" applyAlignment="1" applyProtection="1">
      <alignment vertical="top"/>
      <protection hidden="1"/>
    </xf>
    <xf numFmtId="0" fontId="0" fillId="0" borderId="12" xfId="0" applyBorder="1"/>
    <xf numFmtId="0" fontId="6" fillId="0" borderId="0" xfId="0" applyFont="1" applyAlignment="1" applyProtection="1">
      <alignment horizontal="right" vertical="top"/>
      <protection hidden="1"/>
    </xf>
    <xf numFmtId="0" fontId="15" fillId="0" borderId="10" xfId="0" applyFont="1" applyFill="1" applyBorder="1" applyAlignment="1" applyProtection="1">
      <alignment horizontal="center"/>
      <protection hidden="1"/>
    </xf>
    <xf numFmtId="0" fontId="19" fillId="0" borderId="10" xfId="0" applyFont="1" applyFill="1" applyBorder="1" applyAlignment="1" applyProtection="1">
      <alignment horizontal="center"/>
      <protection hidden="1"/>
    </xf>
    <xf numFmtId="10" fontId="31" fillId="0" borderId="10" xfId="0" applyNumberFormat="1" applyFont="1" applyFill="1" applyBorder="1" applyProtection="1">
      <protection hidden="1"/>
    </xf>
    <xf numFmtId="0" fontId="15" fillId="0" borderId="0" xfId="0" applyNumberFormat="1" applyFont="1" applyAlignment="1" applyProtection="1">
      <protection hidden="1"/>
    </xf>
    <xf numFmtId="168" fontId="6" fillId="0" borderId="0" xfId="0" applyNumberFormat="1" applyFont="1" applyAlignment="1" applyProtection="1">
      <protection hidden="1"/>
    </xf>
    <xf numFmtId="10" fontId="31" fillId="0" borderId="0" xfId="0" applyNumberFormat="1" applyFont="1" applyAlignment="1">
      <alignment horizontal="center"/>
    </xf>
    <xf numFmtId="0" fontId="10" fillId="0" borderId="0" xfId="0" applyFont="1" applyAlignment="1">
      <alignment horizontal="left"/>
    </xf>
    <xf numFmtId="49" fontId="24" fillId="0" borderId="0" xfId="0" applyNumberFormat="1" applyFont="1" applyAlignment="1" applyProtection="1">
      <alignment horizontal="left" vertical="center"/>
      <protection hidden="1"/>
    </xf>
    <xf numFmtId="49" fontId="4" fillId="0" borderId="12" xfId="0" applyNumberFormat="1" applyFont="1" applyBorder="1" applyProtection="1">
      <protection hidden="1"/>
    </xf>
    <xf numFmtId="0" fontId="4" fillId="0" borderId="12" xfId="0" applyFont="1" applyBorder="1" applyProtection="1">
      <protection hidden="1"/>
    </xf>
    <xf numFmtId="49" fontId="6" fillId="0" borderId="0" xfId="0" applyNumberFormat="1" applyFont="1" applyBorder="1" applyProtection="1">
      <protection hidden="1"/>
    </xf>
    <xf numFmtId="0" fontId="6" fillId="0" borderId="0" xfId="0" applyFont="1" applyBorder="1" applyAlignment="1" applyProtection="1">
      <alignment horizontal="right"/>
      <protection hidden="1"/>
    </xf>
    <xf numFmtId="10" fontId="15" fillId="0" borderId="0" xfId="0" applyNumberFormat="1" applyFont="1" applyBorder="1" applyAlignment="1" applyProtection="1">
      <alignment horizontal="center"/>
      <protection hidden="1"/>
    </xf>
    <xf numFmtId="0" fontId="6" fillId="0" borderId="0" xfId="0" applyFont="1" applyBorder="1" applyAlignment="1" applyProtection="1">
      <alignment vertical="top" wrapText="1"/>
      <protection hidden="1"/>
    </xf>
    <xf numFmtId="49" fontId="6" fillId="0" borderId="11" xfId="0" applyNumberFormat="1" applyFont="1" applyBorder="1" applyProtection="1">
      <protection hidden="1"/>
    </xf>
    <xf numFmtId="10" fontId="15" fillId="0" borderId="11" xfId="0" applyNumberFormat="1" applyFont="1" applyBorder="1" applyAlignment="1" applyProtection="1">
      <alignment horizontal="center"/>
      <protection hidden="1"/>
    </xf>
    <xf numFmtId="0" fontId="6" fillId="0" borderId="12" xfId="0" applyFont="1" applyBorder="1" applyAlignment="1" applyProtection="1">
      <alignment horizontal="left"/>
      <protection hidden="1"/>
    </xf>
    <xf numFmtId="0" fontId="18" fillId="0" borderId="0" xfId="0" applyFont="1" applyBorder="1" applyProtection="1">
      <protection hidden="1"/>
    </xf>
    <xf numFmtId="0" fontId="18" fillId="0" borderId="0" xfId="0" applyFont="1" applyBorder="1" applyAlignment="1" applyProtection="1">
      <alignment horizontal="right"/>
      <protection hidden="1"/>
    </xf>
    <xf numFmtId="0" fontId="6" fillId="0" borderId="11" xfId="0" applyFont="1" applyBorder="1" applyAlignment="1" applyProtection="1">
      <alignment horizontal="right"/>
      <protection hidden="1"/>
    </xf>
    <xf numFmtId="0" fontId="6" fillId="0" borderId="12" xfId="0" applyFont="1" applyBorder="1" applyAlignment="1" applyProtection="1">
      <alignment horizontal="right"/>
      <protection hidden="1"/>
    </xf>
    <xf numFmtId="169" fontId="19" fillId="0" borderId="16" xfId="0" applyNumberFormat="1" applyFont="1" applyBorder="1" applyProtection="1">
      <protection hidden="1"/>
    </xf>
    <xf numFmtId="169" fontId="6" fillId="0" borderId="12" xfId="0" applyNumberFormat="1" applyFont="1" applyBorder="1" applyAlignment="1" applyProtection="1">
      <alignment horizontal="center"/>
      <protection hidden="1"/>
    </xf>
    <xf numFmtId="0" fontId="0" fillId="0" borderId="11" xfId="0" applyBorder="1" applyProtection="1">
      <protection hidden="1"/>
    </xf>
    <xf numFmtId="0" fontId="0" fillId="0" borderId="11" xfId="0" applyBorder="1" applyAlignment="1" applyProtection="1">
      <alignment horizontal="right"/>
      <protection hidden="1"/>
    </xf>
    <xf numFmtId="0" fontId="0" fillId="0" borderId="12" xfId="0" applyBorder="1" applyProtection="1">
      <protection hidden="1"/>
    </xf>
    <xf numFmtId="0" fontId="6" fillId="0" borderId="12" xfId="0" applyFont="1" applyBorder="1" applyAlignment="1" applyProtection="1">
      <alignment vertical="top" wrapText="1"/>
      <protection hidden="1"/>
    </xf>
    <xf numFmtId="0" fontId="6" fillId="0" borderId="0" xfId="0" applyFont="1" applyBorder="1" applyAlignment="1" applyProtection="1">
      <alignment horizontal="left" vertical="top" wrapText="1"/>
      <protection hidden="1"/>
    </xf>
    <xf numFmtId="0" fontId="27" fillId="0" borderId="0" xfId="0" applyFont="1" applyBorder="1" applyProtection="1">
      <protection hidden="1"/>
    </xf>
    <xf numFmtId="170" fontId="15" fillId="0" borderId="0" xfId="0" applyNumberFormat="1" applyFont="1" applyBorder="1" applyAlignment="1" applyProtection="1">
      <alignment horizontal="center"/>
      <protection hidden="1"/>
    </xf>
    <xf numFmtId="0" fontId="11" fillId="0" borderId="11" xfId="0" applyFont="1" applyBorder="1" applyProtection="1">
      <protection hidden="1"/>
    </xf>
    <xf numFmtId="170" fontId="15" fillId="0" borderId="11" xfId="0" applyNumberFormat="1" applyFont="1" applyBorder="1" applyAlignment="1" applyProtection="1">
      <alignment horizontal="center"/>
      <protection hidden="1"/>
    </xf>
    <xf numFmtId="0" fontId="11" fillId="0" borderId="12" xfId="0" applyFont="1" applyBorder="1" applyProtection="1">
      <protection hidden="1"/>
    </xf>
    <xf numFmtId="170" fontId="15" fillId="0" borderId="12" xfId="0" applyNumberFormat="1" applyFont="1" applyBorder="1" applyAlignment="1" applyProtection="1">
      <alignment horizontal="center"/>
      <protection hidden="1"/>
    </xf>
    <xf numFmtId="0" fontId="11" fillId="0" borderId="0" xfId="0" applyFont="1" applyBorder="1" applyProtection="1">
      <protection hidden="1"/>
    </xf>
    <xf numFmtId="0" fontId="15" fillId="3" borderId="5" xfId="0" applyFont="1" applyFill="1" applyBorder="1" applyAlignment="1" applyProtection="1">
      <alignment horizontal="center"/>
      <protection locked="0"/>
    </xf>
    <xf numFmtId="49" fontId="6" fillId="0" borderId="12" xfId="0" applyNumberFormat="1" applyFont="1" applyBorder="1" applyProtection="1">
      <protection hidden="1"/>
    </xf>
    <xf numFmtId="10" fontId="31" fillId="0" borderId="0" xfId="0" applyNumberFormat="1" applyFont="1" applyProtection="1">
      <protection hidden="1"/>
    </xf>
    <xf numFmtId="0" fontId="31" fillId="0" borderId="0" xfId="0" applyFont="1" applyProtection="1">
      <protection hidden="1"/>
    </xf>
    <xf numFmtId="0" fontId="15" fillId="0" borderId="0" xfId="0" applyFont="1"/>
    <xf numFmtId="164" fontId="0" fillId="0" borderId="0" xfId="0" applyNumberFormat="1" applyBorder="1" applyAlignment="1" applyProtection="1">
      <protection hidden="1"/>
    </xf>
    <xf numFmtId="167" fontId="15" fillId="3" borderId="0" xfId="0" applyNumberFormat="1" applyFont="1" applyFill="1" applyBorder="1" applyAlignment="1" applyProtection="1">
      <alignment horizontal="center"/>
      <protection hidden="1"/>
    </xf>
    <xf numFmtId="0" fontId="0" fillId="0" borderId="0" xfId="0" applyProtection="1"/>
    <xf numFmtId="0" fontId="15" fillId="3" borderId="11" xfId="0" applyFont="1" applyFill="1" applyBorder="1" applyAlignment="1" applyProtection="1">
      <alignment vertical="top"/>
      <protection locked="0" hidden="1"/>
    </xf>
    <xf numFmtId="10" fontId="31" fillId="3" borderId="6" xfId="0" applyNumberFormat="1" applyFont="1" applyFill="1" applyBorder="1" applyAlignment="1" applyProtection="1">
      <alignment horizontal="center"/>
      <protection locked="0" hidden="1"/>
    </xf>
    <xf numFmtId="10" fontId="31" fillId="0" borderId="0" xfId="0" applyNumberFormat="1" applyFont="1" applyAlignment="1" applyProtection="1">
      <alignment horizontal="right"/>
      <protection hidden="1"/>
    </xf>
    <xf numFmtId="10" fontId="31" fillId="0" borderId="0" xfId="0" applyNumberFormat="1" applyFont="1" applyAlignment="1">
      <alignment horizontal="right"/>
    </xf>
    <xf numFmtId="38" fontId="2" fillId="0" borderId="5" xfId="1" applyNumberFormat="1" applyFont="1" applyBorder="1" applyAlignment="1" applyProtection="1">
      <alignment horizontal="left"/>
      <protection hidden="1"/>
    </xf>
    <xf numFmtId="38" fontId="2" fillId="0" borderId="7" xfId="1" applyNumberFormat="1" applyFont="1" applyBorder="1" applyAlignment="1" applyProtection="1">
      <alignment horizontal="left"/>
      <protection hidden="1"/>
    </xf>
    <xf numFmtId="0" fontId="2" fillId="0" borderId="7" xfId="0" applyFont="1" applyBorder="1" applyProtection="1">
      <protection hidden="1"/>
    </xf>
    <xf numFmtId="0" fontId="2" fillId="0" borderId="10" xfId="0" applyFont="1" applyBorder="1" applyProtection="1">
      <protection hidden="1"/>
    </xf>
    <xf numFmtId="3" fontId="0" fillId="0" borderId="21" xfId="0" applyNumberFormat="1" applyBorder="1" applyProtection="1">
      <protection hidden="1"/>
    </xf>
    <xf numFmtId="0" fontId="15" fillId="3" borderId="16" xfId="0" applyFont="1" applyFill="1" applyBorder="1" applyAlignment="1" applyProtection="1">
      <alignment horizontal="center"/>
      <protection locked="0"/>
    </xf>
    <xf numFmtId="0" fontId="4"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3" borderId="1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3" fontId="15" fillId="0" borderId="0" xfId="0" applyNumberFormat="1" applyFont="1" applyBorder="1" applyAlignment="1" applyProtection="1">
      <alignment horizontal="right"/>
      <protection hidden="1"/>
    </xf>
    <xf numFmtId="0" fontId="0" fillId="0" borderId="0" xfId="0" applyAlignment="1">
      <alignment horizontal="center"/>
    </xf>
    <xf numFmtId="0" fontId="11" fillId="0" borderId="11" xfId="0" applyFont="1" applyBorder="1" applyAlignment="1" applyProtection="1">
      <alignment horizontal="center"/>
      <protection hidden="1"/>
    </xf>
    <xf numFmtId="0" fontId="6" fillId="0" borderId="0" xfId="0" applyFont="1" applyFill="1" applyBorder="1" applyAlignment="1" applyProtection="1">
      <protection hidden="1"/>
    </xf>
    <xf numFmtId="49" fontId="15" fillId="3" borderId="11" xfId="0" applyNumberFormat="1" applyFont="1" applyFill="1" applyBorder="1" applyAlignment="1" applyProtection="1">
      <alignment horizontal="center"/>
      <protection locked="0"/>
    </xf>
    <xf numFmtId="0" fontId="15" fillId="0" borderId="6" xfId="0" applyFont="1" applyBorder="1" applyAlignment="1">
      <alignment horizontal="center"/>
    </xf>
    <xf numFmtId="0" fontId="15" fillId="0" borderId="15" xfId="0" applyFont="1" applyBorder="1" applyAlignment="1" applyProtection="1">
      <alignment horizontal="center" vertical="top" wrapText="1"/>
      <protection hidden="1"/>
    </xf>
    <xf numFmtId="0" fontId="15" fillId="5" borderId="6" xfId="0" applyFont="1" applyFill="1" applyBorder="1" applyProtection="1">
      <protection locked="0"/>
    </xf>
    <xf numFmtId="0" fontId="2" fillId="0" borderId="0" xfId="0" applyFont="1" applyBorder="1" applyAlignment="1" applyProtection="1">
      <alignment horizontal="left" wrapText="1"/>
      <protection hidden="1"/>
    </xf>
    <xf numFmtId="0" fontId="0" fillId="0" borderId="9" xfId="0" applyBorder="1"/>
    <xf numFmtId="169" fontId="4" fillId="0" borderId="12" xfId="0" applyNumberFormat="1" applyFont="1" applyFill="1" applyBorder="1" applyProtection="1">
      <protection hidden="1"/>
    </xf>
    <xf numFmtId="168" fontId="4" fillId="0" borderId="12" xfId="0" applyNumberFormat="1" applyFont="1" applyFill="1" applyBorder="1" applyProtection="1">
      <protection hidden="1"/>
    </xf>
    <xf numFmtId="10" fontId="4" fillId="0" borderId="12" xfId="0" applyNumberFormat="1" applyFont="1" applyFill="1" applyBorder="1" applyProtection="1">
      <protection hidden="1"/>
    </xf>
    <xf numFmtId="169" fontId="4" fillId="0" borderId="0" xfId="0" applyNumberFormat="1" applyFont="1" applyFill="1" applyBorder="1" applyProtection="1">
      <protection hidden="1"/>
    </xf>
    <xf numFmtId="168" fontId="4" fillId="0" borderId="0" xfId="0" applyNumberFormat="1" applyFont="1" applyFill="1" applyBorder="1" applyProtection="1">
      <protection hidden="1"/>
    </xf>
    <xf numFmtId="10" fontId="4" fillId="0" borderId="0" xfId="0" applyNumberFormat="1" applyFont="1" applyFill="1" applyBorder="1" applyProtection="1">
      <protection hidden="1"/>
    </xf>
    <xf numFmtId="169" fontId="6" fillId="0" borderId="0" xfId="0" applyNumberFormat="1" applyFont="1" applyFill="1" applyBorder="1" applyAlignment="1" applyProtection="1">
      <alignment horizontal="right"/>
      <protection hidden="1"/>
    </xf>
    <xf numFmtId="169" fontId="6" fillId="0" borderId="0" xfId="0" applyNumberFormat="1" applyFont="1" applyFill="1" applyBorder="1" applyProtection="1">
      <protection hidden="1"/>
    </xf>
    <xf numFmtId="10" fontId="6" fillId="0" borderId="0" xfId="0" applyNumberFormat="1" applyFont="1" applyFill="1" applyBorder="1" applyAlignment="1" applyProtection="1">
      <alignment horizontal="right"/>
      <protection hidden="1"/>
    </xf>
    <xf numFmtId="0" fontId="6" fillId="0" borderId="0" xfId="0" applyFont="1" applyAlignment="1">
      <alignment horizontal="right"/>
    </xf>
    <xf numFmtId="0" fontId="7" fillId="0" borderId="0" xfId="0" applyFont="1"/>
    <xf numFmtId="0" fontId="39" fillId="0" borderId="6" xfId="0" applyFont="1" applyBorder="1" applyAlignment="1" applyProtection="1">
      <alignment horizontal="center" wrapText="1"/>
      <protection hidden="1"/>
    </xf>
    <xf numFmtId="0" fontId="15" fillId="0" borderId="6" xfId="0" applyFont="1" applyFill="1" applyBorder="1" applyAlignment="1" applyProtection="1">
      <alignment horizontal="center"/>
      <protection locked="0" hidden="1"/>
    </xf>
    <xf numFmtId="0" fontId="39" fillId="0" borderId="0" xfId="0" applyFont="1" applyBorder="1" applyAlignment="1" applyProtection="1">
      <alignment horizontal="center" wrapText="1"/>
      <protection hidden="1"/>
    </xf>
    <xf numFmtId="169" fontId="40" fillId="0" borderId="0" xfId="0" applyNumberFormat="1" applyFont="1" applyBorder="1" applyProtection="1">
      <protection hidden="1"/>
    </xf>
    <xf numFmtId="168" fontId="40" fillId="0" borderId="0" xfId="0" applyNumberFormat="1" applyFont="1" applyFill="1" applyBorder="1"/>
    <xf numFmtId="169" fontId="40" fillId="0" borderId="0" xfId="0" applyNumberFormat="1" applyFont="1" applyBorder="1"/>
    <xf numFmtId="168" fontId="40" fillId="0" borderId="6" xfId="0" applyNumberFormat="1" applyFont="1" applyFill="1" applyBorder="1" applyAlignment="1">
      <alignment horizontal="right"/>
    </xf>
    <xf numFmtId="169" fontId="40" fillId="0" borderId="6" xfId="0" applyNumberFormat="1" applyFont="1" applyBorder="1" applyAlignment="1" applyProtection="1">
      <alignment horizontal="right"/>
      <protection hidden="1"/>
    </xf>
    <xf numFmtId="168" fontId="40" fillId="0" borderId="6" xfId="0" applyNumberFormat="1" applyFont="1" applyBorder="1" applyAlignment="1">
      <alignment horizontal="right"/>
    </xf>
    <xf numFmtId="169" fontId="15" fillId="0" borderId="6" xfId="0" applyNumberFormat="1" applyFont="1" applyBorder="1" applyAlignment="1">
      <alignment horizontal="right"/>
    </xf>
    <xf numFmtId="168" fontId="15" fillId="0" borderId="6" xfId="0" applyNumberFormat="1" applyFont="1" applyBorder="1" applyAlignment="1">
      <alignment horizontal="right"/>
    </xf>
    <xf numFmtId="10" fontId="31" fillId="0" borderId="0" xfId="0" applyNumberFormat="1" applyFont="1" applyBorder="1" applyAlignment="1">
      <alignment horizontal="center"/>
    </xf>
    <xf numFmtId="0" fontId="6" fillId="0" borderId="6" xfId="0" applyFont="1" applyBorder="1" applyAlignment="1" applyProtection="1">
      <alignment horizontal="center" vertical="top" wrapText="1"/>
      <protection hidden="1"/>
    </xf>
    <xf numFmtId="0" fontId="6" fillId="0" borderId="0" xfId="0" applyFont="1" applyAlignment="1" applyProtection="1">
      <alignment horizontal="center"/>
      <protection hidden="1"/>
    </xf>
    <xf numFmtId="0" fontId="0" fillId="0" borderId="0" xfId="0" applyAlignment="1">
      <alignment horizontal="center"/>
    </xf>
    <xf numFmtId="0" fontId="15"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0" xfId="0" applyFont="1" applyAlignment="1" applyProtection="1">
      <alignment horizontal="center"/>
      <protection hidden="1"/>
    </xf>
    <xf numFmtId="169" fontId="37" fillId="0" borderId="0" xfId="0" applyNumberFormat="1" applyFont="1"/>
    <xf numFmtId="0" fontId="9" fillId="0" borderId="0" xfId="0" applyFont="1" applyFill="1" applyBorder="1" applyAlignment="1" applyProtection="1">
      <alignment horizontal="right"/>
      <protection hidden="1"/>
    </xf>
    <xf numFmtId="10" fontId="41" fillId="0" borderId="0" xfId="0" applyNumberFormat="1" applyFont="1" applyAlignment="1" applyProtection="1">
      <alignment horizontal="center"/>
      <protection hidden="1"/>
    </xf>
    <xf numFmtId="169" fontId="41" fillId="3" borderId="6" xfId="0" applyNumberFormat="1" applyFont="1" applyFill="1" applyBorder="1" applyProtection="1">
      <protection locked="0" hidden="1"/>
    </xf>
    <xf numFmtId="169" fontId="41" fillId="3" borderId="6" xfId="0" applyNumberFormat="1" applyFont="1" applyFill="1" applyBorder="1" applyAlignment="1" applyProtection="1">
      <alignment horizontal="right"/>
      <protection locked="0" hidden="1"/>
    </xf>
    <xf numFmtId="0" fontId="41" fillId="3" borderId="6" xfId="0" applyFont="1" applyFill="1" applyBorder="1" applyAlignment="1" applyProtection="1">
      <alignment horizontal="center"/>
      <protection locked="0" hidden="1"/>
    </xf>
    <xf numFmtId="1" fontId="41" fillId="3" borderId="6" xfId="0" applyNumberFormat="1" applyFont="1" applyFill="1" applyBorder="1" applyAlignment="1" applyProtection="1">
      <alignment horizontal="center"/>
      <protection locked="0" hidden="1"/>
    </xf>
    <xf numFmtId="9" fontId="41" fillId="3" borderId="6" xfId="0" applyNumberFormat="1" applyFont="1" applyFill="1" applyBorder="1" applyAlignment="1" applyProtection="1">
      <alignment horizontal="center"/>
      <protection locked="0" hidden="1"/>
    </xf>
    <xf numFmtId="169" fontId="41" fillId="0" borderId="6" xfId="0" applyNumberFormat="1" applyFont="1" applyFill="1" applyBorder="1" applyAlignment="1" applyProtection="1">
      <alignment horizontal="center"/>
      <protection hidden="1"/>
    </xf>
    <xf numFmtId="169" fontId="41" fillId="0" borderId="6" xfId="0" applyNumberFormat="1" applyFont="1" applyBorder="1" applyProtection="1">
      <protection hidden="1"/>
    </xf>
    <xf numFmtId="169" fontId="41" fillId="0" borderId="6" xfId="0" applyNumberFormat="1" applyFont="1" applyFill="1" applyBorder="1" applyProtection="1">
      <protection hidden="1"/>
    </xf>
    <xf numFmtId="169" fontId="41" fillId="3" borderId="15" xfId="0" applyNumberFormat="1" applyFont="1" applyFill="1" applyBorder="1" applyAlignment="1" applyProtection="1">
      <protection locked="0" hidden="1"/>
    </xf>
    <xf numFmtId="169" fontId="41" fillId="0" borderId="15" xfId="0" applyNumberFormat="1" applyFont="1" applyBorder="1" applyAlignment="1" applyProtection="1">
      <protection hidden="1"/>
    </xf>
    <xf numFmtId="3" fontId="41" fillId="3" borderId="6" xfId="0" applyNumberFormat="1" applyFont="1" applyFill="1" applyBorder="1" applyAlignment="1" applyProtection="1">
      <alignment horizontal="right"/>
      <protection locked="0" hidden="1"/>
    </xf>
    <xf numFmtId="3" fontId="41" fillId="0" borderId="6" xfId="0" applyNumberFormat="1" applyFont="1" applyBorder="1" applyProtection="1">
      <protection hidden="1"/>
    </xf>
    <xf numFmtId="169" fontId="41" fillId="0" borderId="20" xfId="0" applyNumberFormat="1" applyFont="1" applyBorder="1" applyAlignment="1" applyProtection="1">
      <alignment horizontal="center" vertical="top" wrapText="1"/>
      <protection hidden="1"/>
    </xf>
    <xf numFmtId="0" fontId="2" fillId="0" borderId="0" xfId="0" applyFont="1" applyProtection="1">
      <protection hidden="1"/>
    </xf>
    <xf numFmtId="0" fontId="42" fillId="0" borderId="0" xfId="0" applyFont="1" applyAlignment="1" applyProtection="1">
      <alignment horizontal="center"/>
      <protection hidden="1"/>
    </xf>
    <xf numFmtId="169" fontId="15" fillId="0" borderId="0" xfId="0" applyNumberFormat="1" applyFont="1" applyBorder="1" applyAlignment="1">
      <alignment horizontal="center"/>
    </xf>
    <xf numFmtId="0" fontId="41" fillId="0" borderId="6" xfId="0" applyFont="1" applyBorder="1" applyAlignment="1">
      <alignment horizontal="center"/>
    </xf>
    <xf numFmtId="0" fontId="4" fillId="0" borderId="0" xfId="0" applyFont="1" applyAlignment="1" applyProtection="1">
      <alignment horizontal="center"/>
    </xf>
    <xf numFmtId="0" fontId="6" fillId="0" borderId="0" xfId="0" applyFont="1" applyAlignment="1" applyProtection="1">
      <alignment horizontal="justify" vertical="top" wrapText="1"/>
      <protection hidden="1"/>
    </xf>
    <xf numFmtId="0" fontId="20" fillId="0" borderId="0" xfId="0" applyFont="1" applyAlignment="1" applyProtection="1">
      <alignment horizontal="left" vertical="top" wrapText="1"/>
      <protection hidden="1"/>
    </xf>
    <xf numFmtId="0" fontId="28" fillId="3" borderId="0" xfId="2" applyFont="1" applyFill="1" applyAlignment="1" applyProtection="1">
      <alignment horizontal="center" vertical="top" wrapText="1"/>
      <protection hidden="1"/>
    </xf>
    <xf numFmtId="0" fontId="1" fillId="0" borderId="0" xfId="0" applyFont="1" applyAlignment="1" applyProtection="1">
      <alignment horizontal="right"/>
      <protection hidden="1"/>
    </xf>
    <xf numFmtId="0" fontId="1" fillId="0" borderId="0" xfId="0" applyFont="1" applyProtection="1">
      <protection hidden="1"/>
    </xf>
    <xf numFmtId="0" fontId="1" fillId="0" borderId="0" xfId="0" applyFont="1"/>
    <xf numFmtId="169" fontId="15" fillId="0" borderId="0" xfId="0" applyNumberFormat="1" applyFont="1" applyFill="1" applyBorder="1" applyAlignment="1" applyProtection="1">
      <alignment horizontal="center"/>
      <protection hidden="1"/>
    </xf>
    <xf numFmtId="10" fontId="15" fillId="0" borderId="0" xfId="0" applyNumberFormat="1" applyFont="1" applyBorder="1" applyProtection="1">
      <protection hidden="1"/>
    </xf>
    <xf numFmtId="168" fontId="41" fillId="3" borderId="6" xfId="0" applyNumberFormat="1" applyFont="1" applyFill="1" applyBorder="1" applyAlignment="1" applyProtection="1">
      <alignment horizontal="center"/>
      <protection locked="0"/>
    </xf>
    <xf numFmtId="0" fontId="18" fillId="0" borderId="0" xfId="0" applyFont="1" applyAlignment="1" applyProtection="1">
      <alignment horizontal="left" wrapText="1"/>
      <protection hidden="1"/>
    </xf>
    <xf numFmtId="0" fontId="15" fillId="0" borderId="6" xfId="0" applyFont="1" applyFill="1" applyBorder="1" applyAlignment="1" applyProtection="1">
      <alignment horizontal="center"/>
      <protection hidden="1"/>
    </xf>
    <xf numFmtId="10" fontId="15" fillId="0" borderId="6" xfId="0" applyNumberFormat="1" applyFont="1" applyFill="1" applyBorder="1" applyAlignment="1" applyProtection="1">
      <alignment horizontal="center"/>
      <protection hidden="1"/>
    </xf>
    <xf numFmtId="0" fontId="15" fillId="3" borderId="6" xfId="0" applyFont="1" applyFill="1" applyBorder="1" applyAlignment="1" applyProtection="1">
      <alignment horizontal="center"/>
      <protection locked="0"/>
    </xf>
    <xf numFmtId="0" fontId="6" fillId="0" borderId="0" xfId="0" applyFont="1" applyAlignment="1" applyProtection="1">
      <alignment horizontal="justify" vertical="top" wrapText="1"/>
      <protection hidden="1"/>
    </xf>
    <xf numFmtId="0" fontId="4" fillId="0" borderId="0" xfId="0" applyFont="1" applyBorder="1" applyProtection="1">
      <protection hidden="1"/>
    </xf>
    <xf numFmtId="0" fontId="1" fillId="0" borderId="0" xfId="0" applyFont="1" applyBorder="1" applyAlignment="1" applyProtection="1">
      <alignment horizontal="right"/>
      <protection hidden="1"/>
    </xf>
    <xf numFmtId="0" fontId="1" fillId="0" borderId="0" xfId="0" applyFont="1" applyBorder="1" applyProtection="1">
      <protection hidden="1"/>
    </xf>
    <xf numFmtId="169" fontId="19" fillId="0" borderId="0" xfId="0" applyNumberFormat="1" applyFont="1" applyBorder="1" applyProtection="1">
      <protection hidden="1"/>
    </xf>
    <xf numFmtId="0" fontId="1" fillId="0" borderId="0" xfId="0" applyFont="1" applyBorder="1" applyAlignment="1" applyProtection="1">
      <alignment horizontal="center"/>
      <protection hidden="1"/>
    </xf>
    <xf numFmtId="0" fontId="1" fillId="0" borderId="11" xfId="0" applyFont="1" applyBorder="1" applyAlignment="1" applyProtection="1">
      <alignment horizontal="right"/>
      <protection hidden="1"/>
    </xf>
    <xf numFmtId="49" fontId="1" fillId="0" borderId="8" xfId="1" applyNumberFormat="1" applyFont="1" applyBorder="1" applyAlignment="1" applyProtection="1">
      <alignment horizontal="center"/>
    </xf>
    <xf numFmtId="9" fontId="1" fillId="0" borderId="21" xfId="1" applyNumberFormat="1" applyFont="1" applyBorder="1" applyAlignment="1" applyProtection="1">
      <alignment horizontal="center"/>
    </xf>
    <xf numFmtId="49" fontId="1" fillId="0" borderId="9" xfId="1" applyNumberFormat="1" applyFont="1" applyBorder="1" applyAlignment="1" applyProtection="1">
      <alignment horizontal="center"/>
    </xf>
    <xf numFmtId="9" fontId="1" fillId="0" borderId="19" xfId="1" applyNumberFormat="1" applyFont="1" applyBorder="1" applyAlignment="1" applyProtection="1">
      <alignment horizontal="center"/>
    </xf>
    <xf numFmtId="49" fontId="1" fillId="0" borderId="13" xfId="1" applyNumberFormat="1" applyFont="1" applyBorder="1" applyAlignment="1" applyProtection="1">
      <alignment horizontal="center"/>
    </xf>
    <xf numFmtId="9" fontId="1" fillId="0" borderId="14" xfId="1" applyNumberFormat="1" applyFont="1" applyBorder="1" applyAlignment="1" applyProtection="1">
      <alignment horizontal="center"/>
    </xf>
    <xf numFmtId="38" fontId="1" fillId="0" borderId="5" xfId="1" applyNumberFormat="1" applyFont="1" applyBorder="1" applyAlignment="1" applyProtection="1">
      <alignment horizontal="left"/>
      <protection hidden="1"/>
    </xf>
    <xf numFmtId="38" fontId="1" fillId="0" borderId="7" xfId="1" applyNumberFormat="1" applyFont="1" applyBorder="1" applyAlignment="1" applyProtection="1">
      <alignment horizontal="left"/>
      <protection hidden="1"/>
    </xf>
    <xf numFmtId="0" fontId="1" fillId="0" borderId="7" xfId="0" applyFont="1" applyBorder="1" applyProtection="1">
      <protection hidden="1"/>
    </xf>
    <xf numFmtId="0" fontId="1" fillId="0" borderId="10" xfId="0" applyFont="1" applyBorder="1" applyProtection="1">
      <protection hidden="1"/>
    </xf>
    <xf numFmtId="173" fontId="1" fillId="0" borderId="0" xfId="1" applyNumberFormat="1" applyFont="1" applyAlignment="1">
      <alignment horizontal="right" vertical="center"/>
    </xf>
    <xf numFmtId="174" fontId="1" fillId="0" borderId="12" xfId="1" applyNumberFormat="1" applyFont="1" applyBorder="1" applyProtection="1">
      <protection hidden="1"/>
    </xf>
    <xf numFmtId="173" fontId="1" fillId="0" borderId="9" xfId="1" applyNumberFormat="1" applyFont="1" applyBorder="1" applyAlignment="1">
      <alignment horizontal="right" vertical="center"/>
    </xf>
    <xf numFmtId="174" fontId="1" fillId="0" borderId="0" xfId="1" applyNumberFormat="1" applyFont="1" applyBorder="1" applyProtection="1">
      <protection hidden="1"/>
    </xf>
    <xf numFmtId="173" fontId="1" fillId="0" borderId="13" xfId="1" applyNumberFormat="1" applyFont="1" applyBorder="1" applyAlignment="1">
      <alignment horizontal="right" vertical="center"/>
    </xf>
    <xf numFmtId="173" fontId="1" fillId="0" borderId="11" xfId="1" applyNumberFormat="1" applyFont="1" applyBorder="1" applyAlignment="1">
      <alignment horizontal="right" vertical="center"/>
    </xf>
    <xf numFmtId="174" fontId="1" fillId="0" borderId="14" xfId="1" applyNumberFormat="1" applyFont="1" applyBorder="1" applyProtection="1">
      <protection hidden="1"/>
    </xf>
    <xf numFmtId="165" fontId="1" fillId="0" borderId="0" xfId="0" applyNumberFormat="1" applyFont="1" applyAlignment="1" applyProtection="1">
      <alignment horizontal="left"/>
      <protection hidden="1"/>
    </xf>
    <xf numFmtId="37" fontId="1" fillId="0" borderId="5" xfId="1" quotePrefix="1" applyNumberFormat="1" applyFont="1" applyBorder="1"/>
    <xf numFmtId="37" fontId="1" fillId="0" borderId="7" xfId="1" quotePrefix="1" applyNumberFormat="1" applyFont="1" applyBorder="1"/>
    <xf numFmtId="37" fontId="1" fillId="0" borderId="10" xfId="1" quotePrefix="1" applyNumberFormat="1" applyFont="1" applyBorder="1"/>
    <xf numFmtId="3" fontId="43" fillId="0" borderId="9" xfId="0" applyNumberFormat="1" applyFont="1" applyBorder="1" applyAlignment="1" applyProtection="1">
      <protection hidden="1"/>
    </xf>
    <xf numFmtId="3" fontId="43" fillId="0" borderId="0" xfId="0" applyNumberFormat="1" applyFont="1" applyBorder="1" applyAlignment="1" applyProtection="1">
      <protection hidden="1"/>
    </xf>
    <xf numFmtId="0" fontId="1" fillId="0" borderId="15" xfId="0" applyFont="1" applyBorder="1" applyAlignment="1" applyProtection="1">
      <protection hidden="1"/>
    </xf>
    <xf numFmtId="3" fontId="1" fillId="0" borderId="5" xfId="0" applyNumberFormat="1" applyFont="1" applyBorder="1" applyProtection="1">
      <protection hidden="1"/>
    </xf>
    <xf numFmtId="3" fontId="1" fillId="0" borderId="7" xfId="0" applyNumberFormat="1" applyFont="1" applyBorder="1" applyProtection="1">
      <protection hidden="1"/>
    </xf>
    <xf numFmtId="3" fontId="1" fillId="0" borderId="7" xfId="0" applyNumberFormat="1" applyFont="1" applyBorder="1" applyAlignment="1" applyProtection="1">
      <protection hidden="1"/>
    </xf>
    <xf numFmtId="3" fontId="1" fillId="0" borderId="10" xfId="0" applyNumberFormat="1" applyFont="1" applyBorder="1" applyAlignment="1" applyProtection="1">
      <protection hidden="1"/>
    </xf>
    <xf numFmtId="3" fontId="1" fillId="0" borderId="9" xfId="0" applyNumberFormat="1" applyFont="1" applyBorder="1" applyProtection="1"/>
    <xf numFmtId="3" fontId="1" fillId="0" borderId="0" xfId="0" applyNumberFormat="1" applyFont="1" applyProtection="1"/>
    <xf numFmtId="3" fontId="1" fillId="0" borderId="0" xfId="0" applyNumberFormat="1" applyFont="1" applyBorder="1" applyProtection="1"/>
    <xf numFmtId="3" fontId="1" fillId="0" borderId="0" xfId="0" applyNumberFormat="1" applyFont="1" applyFill="1" applyBorder="1" applyProtection="1"/>
    <xf numFmtId="3" fontId="1" fillId="0" borderId="13" xfId="0" applyNumberFormat="1" applyFont="1" applyBorder="1" applyProtection="1"/>
    <xf numFmtId="3" fontId="1" fillId="0" borderId="11" xfId="0" applyNumberFormat="1" applyFont="1" applyBorder="1" applyProtection="1"/>
    <xf numFmtId="3" fontId="1" fillId="0" borderId="8" xfId="0" applyNumberFormat="1" applyFont="1" applyBorder="1" applyProtection="1"/>
    <xf numFmtId="3" fontId="1" fillId="0" borderId="9" xfId="0" applyNumberFormat="1" applyFont="1" applyFill="1" applyBorder="1" applyProtection="1"/>
    <xf numFmtId="3" fontId="1" fillId="0" borderId="19" xfId="0" applyNumberFormat="1" applyFont="1" applyBorder="1" applyProtection="1"/>
    <xf numFmtId="3" fontId="1" fillId="0" borderId="14" xfId="0" applyNumberFormat="1" applyFont="1" applyBorder="1" applyProtection="1"/>
    <xf numFmtId="3" fontId="1" fillId="0" borderId="5" xfId="0" applyNumberFormat="1" applyFont="1" applyFill="1" applyBorder="1" applyProtection="1">
      <protection hidden="1"/>
    </xf>
    <xf numFmtId="3" fontId="1" fillId="0" borderId="7" xfId="0" applyNumberFormat="1" applyFont="1" applyFill="1" applyBorder="1" applyProtection="1">
      <protection hidden="1"/>
    </xf>
    <xf numFmtId="3" fontId="1" fillId="0" borderId="10" xfId="0" applyNumberFormat="1" applyFont="1" applyFill="1" applyBorder="1" applyProtection="1">
      <protection hidden="1"/>
    </xf>
    <xf numFmtId="3" fontId="1" fillId="0" borderId="0" xfId="0" applyNumberFormat="1" applyFont="1" applyProtection="1">
      <protection hidden="1"/>
    </xf>
    <xf numFmtId="0" fontId="14" fillId="3" borderId="11" xfId="0" applyFont="1" applyFill="1" applyBorder="1" applyAlignment="1" applyProtection="1">
      <alignment horizontal="left"/>
      <protection locked="0"/>
    </xf>
    <xf numFmtId="169" fontId="14" fillId="3" borderId="11" xfId="0" applyNumberFormat="1" applyFont="1" applyFill="1" applyBorder="1" applyAlignment="1" applyProtection="1">
      <alignment horizontal="right"/>
      <protection locked="0"/>
    </xf>
    <xf numFmtId="0" fontId="14" fillId="3" borderId="16" xfId="0" applyFont="1" applyFill="1" applyBorder="1" applyAlignment="1" applyProtection="1">
      <protection locked="0"/>
    </xf>
    <xf numFmtId="0" fontId="6" fillId="0" borderId="0" xfId="0" applyFont="1" applyAlignment="1" applyProtection="1">
      <alignment horizontal="justify" vertical="top" wrapText="1"/>
      <protection hidden="1"/>
    </xf>
    <xf numFmtId="0" fontId="6" fillId="0" borderId="6" xfId="0" applyFont="1" applyBorder="1" applyAlignment="1" applyProtection="1">
      <alignment horizontal="center"/>
      <protection hidden="1"/>
    </xf>
    <xf numFmtId="0" fontId="15" fillId="3" borderId="11" xfId="0" applyFont="1" applyFill="1" applyBorder="1" applyAlignment="1" applyProtection="1">
      <alignment horizontal="left"/>
      <protection locked="0"/>
    </xf>
    <xf numFmtId="3" fontId="15" fillId="0" borderId="11" xfId="0" applyNumberFormat="1" applyFont="1" applyBorder="1" applyAlignment="1" applyProtection="1">
      <alignment horizontal="center"/>
      <protection hidden="1"/>
    </xf>
    <xf numFmtId="0" fontId="15" fillId="3" borderId="11" xfId="0" applyFont="1" applyFill="1" applyBorder="1" applyAlignment="1" applyProtection="1">
      <alignment horizontal="center"/>
      <protection locked="0"/>
    </xf>
    <xf numFmtId="0" fontId="1" fillId="0" borderId="0" xfId="0" applyFont="1" applyAlignment="1" applyProtection="1">
      <alignment horizontal="justify" vertical="top" wrapText="1"/>
      <protection hidden="1"/>
    </xf>
    <xf numFmtId="0" fontId="4"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4" fillId="4" borderId="0" xfId="0" applyFont="1" applyFill="1" applyAlignment="1" applyProtection="1">
      <alignment horizontal="center"/>
      <protection hidden="1"/>
    </xf>
    <xf numFmtId="169" fontId="15" fillId="0" borderId="15" xfId="0" applyNumberFormat="1" applyFont="1" applyFill="1" applyBorder="1" applyAlignment="1" applyProtection="1">
      <alignment horizontal="center"/>
      <protection hidden="1"/>
    </xf>
    <xf numFmtId="169" fontId="15" fillId="0" borderId="20" xfId="0" applyNumberFormat="1" applyFont="1" applyFill="1" applyBorder="1" applyAlignment="1" applyProtection="1">
      <alignment horizontal="center"/>
      <protection hidden="1"/>
    </xf>
    <xf numFmtId="0" fontId="15" fillId="0" borderId="0" xfId="0" applyFont="1" applyAlignment="1" applyProtection="1">
      <alignment horizontal="center"/>
      <protection hidden="1"/>
    </xf>
    <xf numFmtId="169" fontId="15" fillId="3" borderId="15" xfId="0" applyNumberFormat="1" applyFont="1" applyFill="1" applyBorder="1" applyAlignment="1" applyProtection="1">
      <alignment horizontal="center"/>
      <protection locked="0" hidden="1"/>
    </xf>
    <xf numFmtId="169" fontId="15" fillId="3" borderId="20" xfId="0" applyNumberFormat="1" applyFont="1" applyFill="1" applyBorder="1" applyAlignment="1" applyProtection="1">
      <alignment horizontal="center"/>
      <protection locked="0" hidden="1"/>
    </xf>
    <xf numFmtId="0" fontId="4" fillId="0" borderId="12" xfId="0" applyFont="1" applyBorder="1" applyAlignment="1" applyProtection="1">
      <alignment horizontal="center"/>
      <protection hidden="1"/>
    </xf>
    <xf numFmtId="0" fontId="6" fillId="0" borderId="0" xfId="0" applyFont="1" applyAlignment="1" applyProtection="1">
      <alignment horizontal="center"/>
      <protection hidden="1"/>
    </xf>
    <xf numFmtId="0" fontId="14" fillId="3" borderId="16" xfId="0" applyFont="1" applyFill="1" applyBorder="1" applyAlignment="1" applyProtection="1">
      <alignment horizontal="left"/>
      <protection locked="0"/>
    </xf>
    <xf numFmtId="0" fontId="15" fillId="3" borderId="16" xfId="0" applyFont="1" applyFill="1" applyBorder="1" applyAlignment="1" applyProtection="1">
      <alignment horizontal="left"/>
      <protection locked="0"/>
    </xf>
    <xf numFmtId="169" fontId="15" fillId="3" borderId="11" xfId="0" applyNumberFormat="1" applyFont="1" applyFill="1" applyBorder="1" applyAlignment="1" applyProtection="1">
      <alignment horizontal="right"/>
      <protection locked="0"/>
    </xf>
    <xf numFmtId="0" fontId="19" fillId="3" borderId="8" xfId="0" applyFont="1" applyFill="1" applyBorder="1" applyAlignment="1" applyProtection="1">
      <alignment horizontal="justify" vertical="top" wrapText="1"/>
      <protection locked="0"/>
    </xf>
    <xf numFmtId="0" fontId="19" fillId="3" borderId="12" xfId="0" applyFont="1" applyFill="1" applyBorder="1" applyAlignment="1" applyProtection="1">
      <alignment horizontal="justify" vertical="top" wrapText="1"/>
      <protection locked="0"/>
    </xf>
    <xf numFmtId="0" fontId="19" fillId="3" borderId="21" xfId="0" applyFont="1" applyFill="1" applyBorder="1" applyAlignment="1" applyProtection="1">
      <alignment horizontal="justify" vertical="top" wrapText="1"/>
      <protection locked="0"/>
    </xf>
    <xf numFmtId="0" fontId="19" fillId="3" borderId="9" xfId="0" applyFont="1" applyFill="1" applyBorder="1" applyAlignment="1" applyProtection="1">
      <alignment horizontal="justify" vertical="top" wrapText="1"/>
      <protection locked="0"/>
    </xf>
    <xf numFmtId="0" fontId="19" fillId="3" borderId="0" xfId="0" applyFont="1" applyFill="1" applyBorder="1" applyAlignment="1" applyProtection="1">
      <alignment horizontal="justify" vertical="top" wrapText="1"/>
      <protection locked="0"/>
    </xf>
    <xf numFmtId="0" fontId="19" fillId="3" borderId="19" xfId="0" applyFont="1" applyFill="1" applyBorder="1" applyAlignment="1" applyProtection="1">
      <alignment horizontal="justify" vertical="top" wrapText="1"/>
      <protection locked="0"/>
    </xf>
    <xf numFmtId="0" fontId="19" fillId="3" borderId="13" xfId="0" applyFont="1" applyFill="1" applyBorder="1" applyAlignment="1" applyProtection="1">
      <alignment horizontal="justify" vertical="top" wrapText="1"/>
      <protection locked="0"/>
    </xf>
    <xf numFmtId="0" fontId="19" fillId="3" borderId="11" xfId="0" applyFont="1" applyFill="1" applyBorder="1" applyAlignment="1" applyProtection="1">
      <alignment horizontal="justify" vertical="top" wrapText="1"/>
      <protection locked="0"/>
    </xf>
    <xf numFmtId="0" fontId="19" fillId="3" borderId="14" xfId="0" applyFont="1" applyFill="1" applyBorder="1" applyAlignment="1" applyProtection="1">
      <alignment horizontal="justify" vertical="top" wrapText="1"/>
      <protection locked="0"/>
    </xf>
    <xf numFmtId="169" fontId="15" fillId="3" borderId="10" xfId="0" applyNumberFormat="1" applyFont="1" applyFill="1" applyBorder="1" applyAlignment="1" applyProtection="1">
      <alignment horizontal="right"/>
      <protection locked="0"/>
    </xf>
    <xf numFmtId="0" fontId="14" fillId="3" borderId="15" xfId="0" applyFont="1" applyFill="1" applyBorder="1" applyAlignment="1" applyProtection="1">
      <alignment horizontal="left"/>
      <protection locked="0" hidden="1"/>
    </xf>
    <xf numFmtId="0" fontId="14" fillId="3" borderId="16" xfId="0" applyFont="1" applyFill="1" applyBorder="1" applyAlignment="1" applyProtection="1">
      <alignment horizontal="left"/>
      <protection locked="0" hidden="1"/>
    </xf>
    <xf numFmtId="0" fontId="15" fillId="0" borderId="11" xfId="0" applyFont="1" applyFill="1" applyBorder="1" applyAlignment="1" applyProtection="1">
      <alignment horizontal="left"/>
      <protection hidden="1"/>
    </xf>
    <xf numFmtId="0" fontId="14" fillId="0" borderId="0" xfId="0" applyFont="1" applyAlignment="1" applyProtection="1">
      <alignment horizontal="left"/>
      <protection hidden="1"/>
    </xf>
    <xf numFmtId="2" fontId="15" fillId="0" borderId="0" xfId="0" applyNumberFormat="1"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0" borderId="20" xfId="0" applyFont="1" applyBorder="1" applyAlignment="1" applyProtection="1">
      <alignment horizontal="center"/>
      <protection hidden="1"/>
    </xf>
    <xf numFmtId="169" fontId="14" fillId="0" borderId="15" xfId="0" applyNumberFormat="1" applyFont="1" applyFill="1" applyBorder="1" applyAlignment="1" applyProtection="1">
      <alignment horizontal="center"/>
      <protection hidden="1"/>
    </xf>
    <xf numFmtId="169" fontId="14" fillId="0" borderId="20" xfId="0" applyNumberFormat="1" applyFont="1" applyFill="1" applyBorder="1" applyAlignment="1" applyProtection="1">
      <alignment horizontal="center"/>
      <protection hidden="1"/>
    </xf>
    <xf numFmtId="0" fontId="18" fillId="0" borderId="15" xfId="0" applyFont="1" applyBorder="1" applyAlignment="1" applyProtection="1">
      <alignment horizontal="center"/>
      <protection hidden="1"/>
    </xf>
    <xf numFmtId="0" fontId="18" fillId="0" borderId="20" xfId="0" applyFont="1" applyBorder="1" applyAlignment="1" applyProtection="1">
      <alignment horizontal="center"/>
      <protection hidden="1"/>
    </xf>
    <xf numFmtId="169" fontId="4"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8" fillId="0" borderId="5"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169" fontId="31" fillId="0" borderId="6" xfId="0" applyNumberFormat="1" applyFont="1" applyBorder="1" applyAlignment="1">
      <alignment horizontal="center"/>
    </xf>
    <xf numFmtId="0" fontId="9" fillId="0" borderId="21"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32" fillId="0" borderId="11" xfId="0" applyFont="1" applyBorder="1" applyAlignment="1">
      <alignment horizontal="center"/>
    </xf>
    <xf numFmtId="169" fontId="15" fillId="0" borderId="15" xfId="0" applyNumberFormat="1" applyFont="1" applyBorder="1" applyAlignment="1">
      <alignment horizontal="right"/>
    </xf>
    <xf numFmtId="169" fontId="15" fillId="0" borderId="20" xfId="0" applyNumberFormat="1" applyFont="1" applyBorder="1" applyAlignment="1">
      <alignment horizontal="right"/>
    </xf>
    <xf numFmtId="0" fontId="0" fillId="0" borderId="0" xfId="0" applyAlignment="1">
      <alignment horizontal="center"/>
    </xf>
    <xf numFmtId="169" fontId="15" fillId="3" borderId="16" xfId="0" applyNumberFormat="1" applyFont="1" applyFill="1" applyBorder="1" applyAlignment="1" applyProtection="1">
      <alignment horizontal="right"/>
      <protection locked="0"/>
    </xf>
    <xf numFmtId="168" fontId="15" fillId="0" borderId="0" xfId="0" applyNumberFormat="1" applyFont="1" applyAlignment="1" applyProtection="1">
      <alignment horizontal="right"/>
      <protection hidden="1"/>
    </xf>
    <xf numFmtId="14" fontId="15" fillId="3" borderId="15" xfId="0" applyNumberFormat="1" applyFont="1" applyFill="1" applyBorder="1" applyAlignment="1" applyProtection="1">
      <alignment horizontal="center"/>
      <protection locked="0"/>
    </xf>
    <xf numFmtId="14" fontId="15" fillId="3" borderId="20" xfId="0" applyNumberFormat="1" applyFont="1" applyFill="1" applyBorder="1" applyAlignment="1" applyProtection="1">
      <alignment horizontal="center"/>
      <protection locked="0"/>
    </xf>
    <xf numFmtId="0" fontId="15" fillId="0" borderId="11" xfId="0" applyFont="1" applyBorder="1" applyAlignment="1" applyProtection="1">
      <alignment horizontal="left"/>
      <protection hidden="1"/>
    </xf>
    <xf numFmtId="0" fontId="15" fillId="0" borderId="16" xfId="0" applyFont="1" applyBorder="1" applyAlignment="1" applyProtection="1">
      <alignment horizontal="left"/>
      <protection hidden="1"/>
    </xf>
    <xf numFmtId="0" fontId="6" fillId="0" borderId="5" xfId="0" applyFont="1" applyBorder="1" applyAlignment="1" applyProtection="1">
      <alignment horizontal="center" wrapText="1"/>
      <protection hidden="1"/>
    </xf>
    <xf numFmtId="0" fontId="6" fillId="0" borderId="10" xfId="0" applyFont="1" applyBorder="1" applyAlignment="1" applyProtection="1">
      <alignment horizontal="center" wrapText="1"/>
      <protection hidden="1"/>
    </xf>
    <xf numFmtId="0" fontId="6" fillId="0" borderId="8" xfId="0" applyFont="1" applyBorder="1" applyAlignment="1" applyProtection="1">
      <alignment horizontal="center" wrapText="1"/>
      <protection hidden="1"/>
    </xf>
    <xf numFmtId="0" fontId="6" fillId="0" borderId="21" xfId="0" applyFont="1" applyBorder="1" applyAlignment="1" applyProtection="1">
      <alignment horizontal="center" wrapText="1"/>
      <protection hidden="1"/>
    </xf>
    <xf numFmtId="0" fontId="6" fillId="0" borderId="13" xfId="0" applyFont="1" applyBorder="1" applyAlignment="1" applyProtection="1">
      <alignment horizontal="center" wrapText="1"/>
      <protection hidden="1"/>
    </xf>
    <xf numFmtId="0" fontId="6" fillId="0" borderId="14" xfId="0" applyFont="1" applyBorder="1" applyAlignment="1" applyProtection="1">
      <alignment horizontal="center" wrapText="1"/>
      <protection hidden="1"/>
    </xf>
    <xf numFmtId="0" fontId="14" fillId="3" borderId="8" xfId="0" applyNumberFormat="1" applyFont="1" applyFill="1" applyBorder="1" applyAlignment="1" applyProtection="1">
      <alignment horizontal="justify" vertical="top" wrapText="1"/>
      <protection locked="0"/>
    </xf>
    <xf numFmtId="0" fontId="14" fillId="3" borderId="12" xfId="0" applyNumberFormat="1" applyFont="1" applyFill="1" applyBorder="1" applyAlignment="1" applyProtection="1">
      <alignment horizontal="justify" vertical="top" wrapText="1"/>
      <protection locked="0"/>
    </xf>
    <xf numFmtId="0" fontId="14" fillId="3" borderId="21" xfId="0" applyNumberFormat="1" applyFont="1" applyFill="1" applyBorder="1" applyAlignment="1" applyProtection="1">
      <alignment horizontal="justify" vertical="top" wrapText="1"/>
      <protection locked="0"/>
    </xf>
    <xf numFmtId="0" fontId="14" fillId="3" borderId="9" xfId="0" applyNumberFormat="1" applyFont="1" applyFill="1" applyBorder="1" applyAlignment="1" applyProtection="1">
      <alignment horizontal="justify" vertical="top" wrapText="1"/>
      <protection locked="0"/>
    </xf>
    <xf numFmtId="0" fontId="14" fillId="3" borderId="0" xfId="0" applyNumberFormat="1" applyFont="1" applyFill="1" applyBorder="1" applyAlignment="1" applyProtection="1">
      <alignment horizontal="justify" vertical="top" wrapText="1"/>
      <protection locked="0"/>
    </xf>
    <xf numFmtId="0" fontId="14" fillId="3" borderId="19" xfId="0" applyNumberFormat="1" applyFont="1" applyFill="1" applyBorder="1" applyAlignment="1" applyProtection="1">
      <alignment horizontal="justify" vertical="top" wrapText="1"/>
      <protection locked="0"/>
    </xf>
    <xf numFmtId="0" fontId="14" fillId="3" borderId="13" xfId="0" applyNumberFormat="1" applyFont="1" applyFill="1" applyBorder="1" applyAlignment="1" applyProtection="1">
      <alignment horizontal="justify" vertical="top" wrapText="1"/>
      <protection locked="0"/>
    </xf>
    <xf numFmtId="0" fontId="14" fillId="3" borderId="11" xfId="0" applyNumberFormat="1" applyFont="1" applyFill="1" applyBorder="1" applyAlignment="1" applyProtection="1">
      <alignment horizontal="justify" vertical="top" wrapText="1"/>
      <protection locked="0"/>
    </xf>
    <xf numFmtId="0" fontId="14" fillId="3" borderId="14" xfId="0" applyNumberFormat="1" applyFont="1" applyFill="1" applyBorder="1" applyAlignment="1" applyProtection="1">
      <alignment horizontal="justify" vertical="top" wrapText="1"/>
      <protection locked="0"/>
    </xf>
    <xf numFmtId="0" fontId="15" fillId="0" borderId="0" xfId="0" applyFont="1" applyAlignment="1">
      <alignment horizontal="right"/>
    </xf>
    <xf numFmtId="0" fontId="32" fillId="0" borderId="0" xfId="0" applyFont="1" applyAlignment="1">
      <alignment horizontal="center"/>
    </xf>
    <xf numFmtId="0" fontId="34" fillId="0" borderId="0" xfId="0" applyFont="1" applyAlignment="1">
      <alignment horizontal="center"/>
    </xf>
    <xf numFmtId="169" fontId="41" fillId="0" borderId="15" xfId="0" applyNumberFormat="1" applyFont="1" applyBorder="1" applyAlignment="1" applyProtection="1">
      <alignment horizontal="center"/>
      <protection hidden="1"/>
    </xf>
    <xf numFmtId="169" fontId="41" fillId="0" borderId="20" xfId="0" applyNumberFormat="1" applyFont="1" applyBorder="1" applyAlignment="1" applyProtection="1">
      <alignment horizontal="center"/>
      <protection hidden="1"/>
    </xf>
    <xf numFmtId="9" fontId="15" fillId="3" borderId="6" xfId="0" applyNumberFormat="1"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6" fillId="0" borderId="6" xfId="0" applyFont="1" applyBorder="1" applyAlignment="1" applyProtection="1">
      <alignment horizontal="center" wrapText="1"/>
      <protection hidden="1"/>
    </xf>
    <xf numFmtId="0" fontId="6" fillId="0" borderId="15" xfId="0" applyFont="1" applyBorder="1" applyAlignment="1" applyProtection="1">
      <alignment horizontal="left"/>
      <protection hidden="1"/>
    </xf>
    <xf numFmtId="0" fontId="6" fillId="0" borderId="16" xfId="0" applyFont="1" applyBorder="1" applyAlignment="1" applyProtection="1">
      <alignment horizontal="left"/>
      <protection hidden="1"/>
    </xf>
    <xf numFmtId="0" fontId="6" fillId="0" borderId="20" xfId="0" applyFont="1" applyBorder="1" applyAlignment="1" applyProtection="1">
      <alignment horizontal="left"/>
      <protection hidden="1"/>
    </xf>
    <xf numFmtId="0" fontId="1" fillId="0" borderId="15" xfId="0" applyFont="1" applyBorder="1" applyAlignment="1" applyProtection="1">
      <alignment horizontal="left"/>
      <protection hidden="1"/>
    </xf>
    <xf numFmtId="169" fontId="15" fillId="0" borderId="15" xfId="0" applyNumberFormat="1" applyFont="1" applyBorder="1" applyAlignment="1" applyProtection="1">
      <alignment horizontal="center"/>
      <protection hidden="1"/>
    </xf>
    <xf numFmtId="0" fontId="15" fillId="0" borderId="20" xfId="0" applyFont="1" applyBorder="1" applyAlignment="1" applyProtection="1">
      <alignment horizontal="center"/>
      <protection hidden="1"/>
    </xf>
    <xf numFmtId="0" fontId="15" fillId="0" borderId="15" xfId="0" applyFont="1" applyBorder="1" applyAlignment="1" applyProtection="1">
      <alignment horizontal="left"/>
      <protection hidden="1"/>
    </xf>
    <xf numFmtId="0" fontId="15" fillId="0" borderId="20" xfId="0" applyFont="1" applyBorder="1" applyAlignment="1" applyProtection="1">
      <alignment horizontal="left"/>
      <protection hidden="1"/>
    </xf>
    <xf numFmtId="0" fontId="19" fillId="3" borderId="10" xfId="0" applyFont="1" applyFill="1" applyBorder="1" applyAlignment="1" applyProtection="1">
      <alignment horizontal="left"/>
      <protection locked="0"/>
    </xf>
    <xf numFmtId="0" fontId="9" fillId="0" borderId="5"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169" fontId="6" fillId="0" borderId="13" xfId="0" applyNumberFormat="1" applyFont="1" applyBorder="1" applyAlignment="1" applyProtection="1">
      <alignment horizontal="center"/>
      <protection hidden="1"/>
    </xf>
    <xf numFmtId="169" fontId="6" fillId="0" borderId="11" xfId="0" applyNumberFormat="1" applyFont="1" applyBorder="1" applyAlignment="1" applyProtection="1">
      <alignment horizontal="center"/>
      <protection hidden="1"/>
    </xf>
    <xf numFmtId="0" fontId="15" fillId="0" borderId="0" xfId="0" applyFont="1" applyAlignment="1" applyProtection="1">
      <alignment horizontal="right"/>
      <protection hidden="1"/>
    </xf>
    <xf numFmtId="0" fontId="3" fillId="3" borderId="11" xfId="2" applyFill="1" applyBorder="1" applyAlignment="1" applyProtection="1">
      <alignment horizontal="left"/>
      <protection locked="0"/>
    </xf>
    <xf numFmtId="169" fontId="14" fillId="3" borderId="11" xfId="0" applyNumberFormat="1" applyFont="1" applyFill="1" applyBorder="1" applyAlignment="1" applyProtection="1">
      <alignment horizontal="center"/>
      <protection locked="0"/>
    </xf>
    <xf numFmtId="14" fontId="14" fillId="3" borderId="16" xfId="0" applyNumberFormat="1" applyFont="1" applyFill="1" applyBorder="1" applyAlignment="1" applyProtection="1">
      <alignment horizontal="center"/>
      <protection locked="0"/>
    </xf>
    <xf numFmtId="169" fontId="15" fillId="0" borderId="11" xfId="0" applyNumberFormat="1" applyFont="1" applyBorder="1" applyAlignment="1" applyProtection="1">
      <alignment horizontal="right"/>
      <protection hidden="1"/>
    </xf>
    <xf numFmtId="169" fontId="31" fillId="0" borderId="15" xfId="0" applyNumberFormat="1" applyFont="1" applyBorder="1" applyAlignment="1">
      <alignment horizontal="center"/>
    </xf>
    <xf numFmtId="169" fontId="31" fillId="0" borderId="20" xfId="0" applyNumberFormat="1" applyFont="1" applyBorder="1" applyAlignment="1">
      <alignment horizontal="center"/>
    </xf>
    <xf numFmtId="169" fontId="15" fillId="0" borderId="15" xfId="0" applyNumberFormat="1" applyFont="1" applyBorder="1" applyAlignment="1">
      <alignment horizontal="center"/>
    </xf>
    <xf numFmtId="169" fontId="15" fillId="0" borderId="20" xfId="0" applyNumberFormat="1" applyFont="1" applyBorder="1" applyAlignment="1">
      <alignment horizontal="center"/>
    </xf>
    <xf numFmtId="0" fontId="6" fillId="0" borderId="15" xfId="0" applyFont="1" applyFill="1" applyBorder="1" applyAlignment="1" applyProtection="1">
      <alignment horizontal="left"/>
      <protection hidden="1"/>
    </xf>
    <xf numFmtId="0" fontId="6" fillId="0" borderId="20" xfId="0" applyFont="1" applyFill="1" applyBorder="1" applyAlignment="1" applyProtection="1">
      <alignment horizontal="left"/>
      <protection hidden="1"/>
    </xf>
    <xf numFmtId="0" fontId="18" fillId="0" borderId="16" xfId="0" applyFont="1" applyBorder="1" applyAlignment="1" applyProtection="1">
      <alignment horizontal="center"/>
      <protection hidden="1"/>
    </xf>
    <xf numFmtId="167" fontId="15" fillId="3" borderId="16" xfId="0" applyNumberFormat="1" applyFont="1" applyFill="1" applyBorder="1" applyAlignment="1" applyProtection="1">
      <alignment horizontal="center"/>
      <protection locked="0"/>
    </xf>
    <xf numFmtId="0" fontId="14" fillId="3" borderId="15" xfId="0" applyFont="1" applyFill="1" applyBorder="1" applyAlignment="1" applyProtection="1">
      <alignment horizontal="left"/>
      <protection locked="0"/>
    </xf>
    <xf numFmtId="0" fontId="14" fillId="3" borderId="20" xfId="0" applyFont="1" applyFill="1" applyBorder="1" applyAlignment="1" applyProtection="1">
      <alignment horizontal="left"/>
      <protection locked="0"/>
    </xf>
    <xf numFmtId="169" fontId="15" fillId="0" borderId="16" xfId="0" applyNumberFormat="1" applyFont="1" applyBorder="1" applyAlignment="1" applyProtection="1">
      <alignment horizontal="right"/>
      <protection hidden="1"/>
    </xf>
    <xf numFmtId="0" fontId="15" fillId="0" borderId="16" xfId="0" applyFont="1" applyBorder="1" applyAlignment="1" applyProtection="1">
      <alignment horizontal="right"/>
      <protection hidden="1"/>
    </xf>
    <xf numFmtId="0" fontId="14" fillId="3" borderId="8" xfId="0" applyFont="1" applyFill="1" applyBorder="1" applyAlignment="1" applyProtection="1">
      <alignment horizontal="justify" vertical="top" wrapText="1"/>
      <protection locked="0"/>
    </xf>
    <xf numFmtId="0" fontId="0" fillId="0" borderId="12" xfId="0" applyBorder="1" applyProtection="1">
      <protection locked="0"/>
    </xf>
    <xf numFmtId="0" fontId="0" fillId="0" borderId="21" xfId="0" applyBorder="1" applyProtection="1">
      <protection locked="0"/>
    </xf>
    <xf numFmtId="0" fontId="0" fillId="0" borderId="9" xfId="0" applyBorder="1" applyProtection="1">
      <protection locked="0"/>
    </xf>
    <xf numFmtId="0" fontId="0" fillId="0" borderId="0" xfId="0" applyProtection="1">
      <protection locked="0"/>
    </xf>
    <xf numFmtId="0" fontId="0" fillId="0" borderId="19" xfId="0" applyBorder="1" applyProtection="1">
      <protection locked="0"/>
    </xf>
    <xf numFmtId="0" fontId="0" fillId="0" borderId="13" xfId="0" applyBorder="1" applyProtection="1">
      <protection locked="0"/>
    </xf>
    <xf numFmtId="0" fontId="0" fillId="0" borderId="11" xfId="0" applyBorder="1" applyProtection="1">
      <protection locked="0"/>
    </xf>
    <xf numFmtId="0" fontId="0" fillId="0" borderId="14" xfId="0" applyBorder="1" applyProtection="1">
      <protection locked="0"/>
    </xf>
    <xf numFmtId="169" fontId="15" fillId="0" borderId="20" xfId="0" applyNumberFormat="1" applyFont="1" applyBorder="1" applyAlignment="1" applyProtection="1">
      <alignment horizontal="center"/>
      <protection hidden="1"/>
    </xf>
    <xf numFmtId="169" fontId="15" fillId="3" borderId="11" xfId="0" applyNumberFormat="1" applyFont="1" applyFill="1" applyBorder="1" applyAlignment="1" applyProtection="1">
      <alignment horizontal="center"/>
      <protection locked="0"/>
    </xf>
    <xf numFmtId="0" fontId="14" fillId="3" borderId="12" xfId="0" applyFont="1" applyFill="1" applyBorder="1" applyAlignment="1" applyProtection="1">
      <alignment horizontal="justify" vertical="top" wrapText="1"/>
      <protection locked="0"/>
    </xf>
    <xf numFmtId="0" fontId="14" fillId="3" borderId="21" xfId="0" applyFont="1" applyFill="1" applyBorder="1" applyAlignment="1" applyProtection="1">
      <alignment horizontal="justify" vertical="top" wrapText="1"/>
      <protection locked="0"/>
    </xf>
    <xf numFmtId="0" fontId="14" fillId="3" borderId="9" xfId="0" applyFont="1" applyFill="1" applyBorder="1" applyAlignment="1" applyProtection="1">
      <alignment horizontal="justify" vertical="top" wrapText="1"/>
      <protection locked="0"/>
    </xf>
    <xf numFmtId="0" fontId="14" fillId="3" borderId="0" xfId="0" applyFont="1" applyFill="1" applyBorder="1" applyAlignment="1" applyProtection="1">
      <alignment horizontal="justify" vertical="top" wrapText="1"/>
      <protection locked="0"/>
    </xf>
    <xf numFmtId="0" fontId="14" fillId="3" borderId="19" xfId="0" applyFont="1" applyFill="1" applyBorder="1" applyAlignment="1" applyProtection="1">
      <alignment horizontal="justify" vertical="top" wrapText="1"/>
      <protection locked="0"/>
    </xf>
    <xf numFmtId="0" fontId="14" fillId="3" borderId="13" xfId="0" applyFont="1" applyFill="1" applyBorder="1" applyAlignment="1" applyProtection="1">
      <alignment horizontal="justify" vertical="top" wrapText="1"/>
      <protection locked="0"/>
    </xf>
    <xf numFmtId="0" fontId="14" fillId="3" borderId="11" xfId="0" applyFont="1" applyFill="1" applyBorder="1" applyAlignment="1" applyProtection="1">
      <alignment horizontal="justify" vertical="top" wrapText="1"/>
      <protection locked="0"/>
    </xf>
    <xf numFmtId="0" fontId="14" fillId="3" borderId="14" xfId="0" applyFont="1" applyFill="1" applyBorder="1" applyAlignment="1" applyProtection="1">
      <alignment horizontal="justify" vertical="top" wrapText="1"/>
      <protection locked="0"/>
    </xf>
    <xf numFmtId="0" fontId="15" fillId="0" borderId="15" xfId="0" applyFont="1" applyBorder="1" applyAlignment="1" applyProtection="1">
      <alignment horizontal="center"/>
      <protection hidden="1"/>
    </xf>
    <xf numFmtId="0" fontId="15" fillId="0" borderId="15" xfId="0" applyFont="1" applyFill="1" applyBorder="1" applyAlignment="1" applyProtection="1">
      <alignment horizontal="center"/>
      <protection hidden="1"/>
    </xf>
    <xf numFmtId="0" fontId="15" fillId="0" borderId="20" xfId="0" applyFont="1" applyFill="1" applyBorder="1" applyAlignment="1" applyProtection="1">
      <alignment horizontal="center"/>
      <protection hidden="1"/>
    </xf>
    <xf numFmtId="169" fontId="15" fillId="3" borderId="13" xfId="0" applyNumberFormat="1" applyFont="1" applyFill="1" applyBorder="1" applyAlignment="1" applyProtection="1">
      <alignment horizontal="right"/>
      <protection locked="0"/>
    </xf>
    <xf numFmtId="169" fontId="15" fillId="3" borderId="14" xfId="0" applyNumberFormat="1" applyFont="1" applyFill="1" applyBorder="1" applyAlignment="1" applyProtection="1">
      <alignment horizontal="right"/>
      <protection locked="0"/>
    </xf>
    <xf numFmtId="0" fontId="20" fillId="0" borderId="0" xfId="0" applyFont="1" applyAlignment="1" applyProtection="1">
      <alignment horizontal="left" vertical="top" wrapText="1"/>
      <protection hidden="1"/>
    </xf>
    <xf numFmtId="0" fontId="28" fillId="3" borderId="29" xfId="2"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6" fillId="0" borderId="11" xfId="0" applyFont="1" applyBorder="1" applyAlignment="1" applyProtection="1">
      <protection hidden="1"/>
    </xf>
    <xf numFmtId="0" fontId="12" fillId="3" borderId="0" xfId="2" applyFont="1" applyFill="1" applyAlignment="1" applyProtection="1">
      <alignment horizontal="center" vertical="center"/>
    </xf>
    <xf numFmtId="167" fontId="15" fillId="3" borderId="11" xfId="0" applyNumberFormat="1" applyFont="1" applyFill="1" applyBorder="1" applyAlignment="1" applyProtection="1">
      <alignment horizontal="center"/>
      <protection locked="0"/>
    </xf>
    <xf numFmtId="0" fontId="6" fillId="0" borderId="0" xfId="0" applyFont="1" applyAlignment="1" applyProtection="1">
      <protection hidden="1"/>
    </xf>
    <xf numFmtId="0" fontId="15" fillId="3" borderId="11" xfId="0" applyFont="1" applyFill="1" applyBorder="1" applyAlignment="1" applyProtection="1">
      <protection locked="0"/>
    </xf>
    <xf numFmtId="0" fontId="3" fillId="3" borderId="11" xfId="2" applyFill="1" applyBorder="1" applyAlignment="1" applyProtection="1">
      <protection locked="0"/>
    </xf>
    <xf numFmtId="0" fontId="14" fillId="3" borderId="11" xfId="0" applyFont="1" applyFill="1" applyBorder="1" applyAlignment="1" applyProtection="1">
      <protection locked="0"/>
    </xf>
    <xf numFmtId="14" fontId="14" fillId="3" borderId="11" xfId="0" applyNumberFormat="1" applyFont="1" applyFill="1" applyBorder="1" applyAlignment="1" applyProtection="1">
      <alignment horizontal="right"/>
      <protection locked="0"/>
    </xf>
    <xf numFmtId="0" fontId="6" fillId="0" borderId="0" xfId="0" applyFont="1" applyFill="1" applyBorder="1" applyAlignment="1" applyProtection="1">
      <alignment horizontal="justify" vertical="top"/>
      <protection hidden="1"/>
    </xf>
    <xf numFmtId="14" fontId="14" fillId="3" borderId="11" xfId="0" applyNumberFormat="1"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6" fillId="0" borderId="16" xfId="0" applyFont="1" applyBorder="1" applyAlignment="1" applyProtection="1">
      <protection hidden="1"/>
    </xf>
    <xf numFmtId="0" fontId="9" fillId="0" borderId="0" xfId="0" applyFont="1" applyAlignment="1" applyProtection="1">
      <alignment horizontal="center" vertical="top" wrapText="1"/>
      <protection hidden="1"/>
    </xf>
    <xf numFmtId="0" fontId="9" fillId="0" borderId="0" xfId="0" applyFont="1" applyBorder="1" applyAlignment="1" applyProtection="1">
      <alignment horizontal="center" vertical="top" wrapText="1"/>
      <protection hidden="1"/>
    </xf>
    <xf numFmtId="0" fontId="15" fillId="3" borderId="11" xfId="0" applyFont="1" applyFill="1" applyBorder="1" applyAlignment="1" applyProtection="1">
      <alignment horizontal="left" vertical="top"/>
      <protection locked="0" hidden="1"/>
    </xf>
    <xf numFmtId="0" fontId="16" fillId="3" borderId="0" xfId="2" applyFont="1" applyFill="1" applyAlignment="1" applyProtection="1">
      <alignment horizontal="left"/>
    </xf>
    <xf numFmtId="0" fontId="16" fillId="3" borderId="0" xfId="2" applyFont="1" applyFill="1" applyAlignment="1" applyProtection="1"/>
    <xf numFmtId="0" fontId="15" fillId="3" borderId="11" xfId="0" applyFont="1" applyFill="1" applyBorder="1" applyAlignment="1" applyProtection="1">
      <alignment horizontal="left"/>
      <protection locked="0" hidden="1"/>
    </xf>
    <xf numFmtId="0" fontId="6" fillId="0" borderId="0" xfId="0" applyFont="1" applyFill="1" applyBorder="1" applyAlignment="1" applyProtection="1">
      <alignment horizontal="justify" vertical="top" wrapText="1"/>
      <protection hidden="1"/>
    </xf>
    <xf numFmtId="0" fontId="15" fillId="3" borderId="11" xfId="0" applyFont="1" applyFill="1" applyBorder="1" applyAlignment="1" applyProtection="1">
      <alignment horizontal="center"/>
      <protection locked="0" hidden="1"/>
    </xf>
    <xf numFmtId="0" fontId="5" fillId="0" borderId="0" xfId="0" applyFont="1" applyAlignment="1" applyProtection="1">
      <alignment horizontal="center"/>
      <protection hidden="1"/>
    </xf>
    <xf numFmtId="0" fontId="6" fillId="0" borderId="0" xfId="0" applyFont="1" applyAlignment="1" applyProtection="1">
      <alignment horizontal="left" vertical="top" wrapText="1"/>
      <protection hidden="1"/>
    </xf>
    <xf numFmtId="49" fontId="15" fillId="3" borderId="11" xfId="0" applyNumberFormat="1" applyFont="1" applyFill="1" applyBorder="1" applyAlignment="1" applyProtection="1">
      <alignment horizontal="center"/>
      <protection locked="0"/>
    </xf>
    <xf numFmtId="0" fontId="1" fillId="0" borderId="0" xfId="0" applyFont="1" applyAlignment="1" applyProtection="1">
      <alignment horizontal="left" vertical="top" wrapText="1"/>
      <protection hidden="1"/>
    </xf>
    <xf numFmtId="0" fontId="15" fillId="3" borderId="11" xfId="0" applyFont="1" applyFill="1" applyBorder="1" applyAlignment="1" applyProtection="1">
      <alignment horizontal="center"/>
      <protection hidden="1"/>
    </xf>
    <xf numFmtId="0" fontId="13" fillId="0" borderId="0" xfId="0" applyFont="1" applyAlignment="1" applyProtection="1">
      <alignment horizontal="center"/>
      <protection hidden="1"/>
    </xf>
    <xf numFmtId="0" fontId="13" fillId="4" borderId="0" xfId="0" applyFont="1" applyFill="1" applyAlignment="1" applyProtection="1">
      <alignment horizontal="center"/>
      <protection hidden="1"/>
    </xf>
    <xf numFmtId="0" fontId="1" fillId="0" borderId="0" xfId="0" applyFont="1" applyFill="1" applyBorder="1" applyAlignment="1" applyProtection="1">
      <alignment horizontal="justify" vertical="top" wrapText="1"/>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justify" wrapText="1"/>
      <protection hidden="1"/>
    </xf>
    <xf numFmtId="0" fontId="6" fillId="0" borderId="0" xfId="0" applyNumberFormat="1" applyFont="1" applyAlignment="1" applyProtection="1">
      <alignment horizontal="justify" vertical="top" wrapText="1"/>
      <protection hidden="1"/>
    </xf>
    <xf numFmtId="0" fontId="15" fillId="3" borderId="11" xfId="0" applyFont="1" applyFill="1" applyBorder="1" applyAlignment="1" applyProtection="1">
      <alignment horizontal="left"/>
      <protection hidden="1"/>
    </xf>
    <xf numFmtId="0" fontId="14" fillId="3" borderId="16" xfId="0" applyFont="1" applyFill="1" applyBorder="1" applyAlignment="1" applyProtection="1">
      <alignment horizontal="center"/>
      <protection locked="0"/>
    </xf>
    <xf numFmtId="0" fontId="2" fillId="3" borderId="0" xfId="0" applyFont="1" applyFill="1" applyAlignment="1" applyProtection="1">
      <alignment horizontal="center"/>
      <protection hidden="1"/>
    </xf>
    <xf numFmtId="0" fontId="4" fillId="3" borderId="11" xfId="0" applyFont="1" applyFill="1" applyBorder="1" applyAlignment="1" applyProtection="1">
      <protection locked="0"/>
    </xf>
    <xf numFmtId="0" fontId="1" fillId="0" borderId="0" xfId="0" applyFont="1" applyAlignment="1" applyProtection="1">
      <alignment horizontal="left"/>
      <protection hidden="1"/>
    </xf>
    <xf numFmtId="0" fontId="11" fillId="0" borderId="11" xfId="0" applyFont="1" applyBorder="1" applyAlignment="1" applyProtection="1">
      <alignment horizontal="center"/>
      <protection hidden="1"/>
    </xf>
    <xf numFmtId="0" fontId="28" fillId="3" borderId="0" xfId="2" applyFont="1" applyFill="1" applyAlignment="1" applyProtection="1">
      <alignment horizontal="center" vertical="top" wrapText="1"/>
      <protection hidden="1"/>
    </xf>
    <xf numFmtId="0" fontId="15" fillId="0" borderId="11" xfId="0" applyFont="1" applyBorder="1" applyAlignment="1" applyProtection="1">
      <alignment horizontal="center"/>
      <protection hidden="1"/>
    </xf>
    <xf numFmtId="167" fontId="15" fillId="3" borderId="11" xfId="0" applyNumberFormat="1" applyFont="1" applyFill="1" applyBorder="1" applyAlignment="1" applyProtection="1">
      <alignment horizontal="center"/>
      <protection locked="0" hidden="1"/>
    </xf>
    <xf numFmtId="0" fontId="15" fillId="3" borderId="20" xfId="0" applyFont="1" applyFill="1" applyBorder="1" applyAlignment="1" applyProtection="1">
      <alignment horizontal="left"/>
      <protection locked="0"/>
    </xf>
    <xf numFmtId="8" fontId="15" fillId="0" borderId="0" xfId="0" applyNumberFormat="1" applyFont="1" applyAlignment="1" applyProtection="1">
      <alignment horizontal="right"/>
      <protection hidden="1"/>
    </xf>
    <xf numFmtId="0" fontId="6" fillId="0" borderId="8"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21"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15" xfId="0" applyFont="1" applyBorder="1" applyAlignment="1" applyProtection="1">
      <alignment horizontal="center" vertical="top" wrapText="1"/>
      <protection hidden="1"/>
    </xf>
    <xf numFmtId="0" fontId="6" fillId="0" borderId="16" xfId="0" applyFont="1" applyBorder="1" applyAlignment="1" applyProtection="1">
      <alignment horizontal="center" vertical="top" wrapText="1"/>
      <protection hidden="1"/>
    </xf>
    <xf numFmtId="0" fontId="6" fillId="0" borderId="20" xfId="0" applyFont="1" applyBorder="1" applyAlignment="1" applyProtection="1">
      <alignment horizontal="center" vertical="top" wrapText="1"/>
      <protection hidden="1"/>
    </xf>
    <xf numFmtId="0" fontId="2" fillId="0" borderId="5" xfId="0" applyFont="1" applyFill="1" applyBorder="1" applyAlignment="1" applyProtection="1">
      <alignment horizontal="center" wrapText="1"/>
      <protection hidden="1"/>
    </xf>
    <xf numFmtId="0" fontId="9" fillId="0" borderId="10" xfId="0" applyFont="1" applyFill="1" applyBorder="1" applyAlignment="1" applyProtection="1">
      <alignment horizontal="center" wrapText="1"/>
      <protection hidden="1"/>
    </xf>
    <xf numFmtId="0" fontId="15" fillId="0" borderId="0" xfId="0" applyFont="1" applyAlignment="1" applyProtection="1">
      <alignment horizontal="left"/>
      <protection hidden="1"/>
    </xf>
    <xf numFmtId="169" fontId="15" fillId="0" borderId="11" xfId="0" applyNumberFormat="1" applyFont="1" applyBorder="1" applyAlignment="1" applyProtection="1">
      <alignment horizontal="right"/>
      <protection locked="0"/>
    </xf>
    <xf numFmtId="169" fontId="15" fillId="0" borderId="15" xfId="0" applyNumberFormat="1" applyFont="1" applyBorder="1" applyAlignment="1" applyProtection="1">
      <alignment horizontal="right"/>
      <protection hidden="1"/>
    </xf>
    <xf numFmtId="169" fontId="15" fillId="0" borderId="20" xfId="0" applyNumberFormat="1" applyFont="1" applyBorder="1" applyAlignment="1" applyProtection="1">
      <alignment horizontal="right"/>
      <protection hidden="1"/>
    </xf>
    <xf numFmtId="172" fontId="15" fillId="3" borderId="11" xfId="0" applyNumberFormat="1" applyFont="1" applyFill="1" applyBorder="1" applyAlignment="1" applyProtection="1">
      <alignment horizontal="center"/>
      <protection locked="0"/>
    </xf>
    <xf numFmtId="0" fontId="12" fillId="5" borderId="0" xfId="2" applyFont="1" applyFill="1" applyAlignment="1" applyProtection="1">
      <alignment horizontal="center"/>
      <protection hidden="1"/>
    </xf>
    <xf numFmtId="0" fontId="4" fillId="0" borderId="8" xfId="0" applyFont="1" applyBorder="1" applyAlignment="1" applyProtection="1">
      <alignment horizontal="center"/>
      <protection hidden="1"/>
    </xf>
    <xf numFmtId="0" fontId="19" fillId="0" borderId="15" xfId="0" applyFont="1" applyBorder="1" applyAlignment="1" applyProtection="1">
      <alignment horizontal="center"/>
      <protection hidden="1"/>
    </xf>
    <xf numFmtId="0" fontId="19" fillId="0" borderId="16" xfId="0" applyFont="1" applyBorder="1" applyAlignment="1" applyProtection="1">
      <alignment horizontal="center"/>
      <protection hidden="1"/>
    </xf>
    <xf numFmtId="0" fontId="19" fillId="0" borderId="20" xfId="0" applyFont="1" applyBorder="1" applyAlignment="1" applyProtection="1">
      <alignment horizontal="center"/>
      <protection hidden="1"/>
    </xf>
    <xf numFmtId="169" fontId="15" fillId="0" borderId="27" xfId="0" applyNumberFormat="1" applyFont="1" applyBorder="1" applyAlignment="1" applyProtection="1">
      <alignment horizontal="center"/>
      <protection hidden="1"/>
    </xf>
    <xf numFmtId="169" fontId="15" fillId="0" borderId="28" xfId="0" applyNumberFormat="1" applyFont="1" applyBorder="1" applyAlignment="1" applyProtection="1">
      <alignment horizontal="center"/>
      <protection hidden="1"/>
    </xf>
    <xf numFmtId="0" fontId="2" fillId="0" borderId="0" xfId="0" applyFont="1" applyAlignment="1" applyProtection="1">
      <alignment horizontal="center" wrapText="1"/>
      <protection hidden="1"/>
    </xf>
    <xf numFmtId="169" fontId="15" fillId="0" borderId="6" xfId="0" applyNumberFormat="1" applyFont="1" applyBorder="1" applyAlignment="1">
      <alignment horizontal="center"/>
    </xf>
    <xf numFmtId="0" fontId="7" fillId="0" borderId="0" xfId="0" applyFont="1" applyAlignment="1" applyProtection="1">
      <alignment horizontal="left"/>
      <protection hidden="1"/>
    </xf>
    <xf numFmtId="0" fontId="0" fillId="0" borderId="0" xfId="0" applyAlignment="1" applyProtection="1">
      <alignment horizontal="center"/>
      <protection hidden="1"/>
    </xf>
    <xf numFmtId="1" fontId="23" fillId="0" borderId="25" xfId="0" applyNumberFormat="1" applyFont="1" applyBorder="1" applyAlignment="1" applyProtection="1">
      <alignment horizontal="center" vertical="center"/>
      <protection hidden="1"/>
    </xf>
    <xf numFmtId="1" fontId="23" fillId="0" borderId="26" xfId="0" applyNumberFormat="1" applyFont="1" applyBorder="1" applyAlignment="1" applyProtection="1">
      <alignment horizontal="center" vertical="center"/>
      <protection hidden="1"/>
    </xf>
    <xf numFmtId="1" fontId="23" fillId="0" borderId="23" xfId="0" applyNumberFormat="1" applyFont="1" applyBorder="1" applyAlignment="1" applyProtection="1">
      <alignment horizontal="center" vertical="center"/>
      <protection hidden="1"/>
    </xf>
    <xf numFmtId="1" fontId="23" fillId="0" borderId="24" xfId="0" applyNumberFormat="1" applyFont="1" applyBorder="1" applyAlignment="1" applyProtection="1">
      <alignment horizontal="center" vertical="center"/>
      <protection hidden="1"/>
    </xf>
    <xf numFmtId="0" fontId="15" fillId="0" borderId="0" xfId="0" applyFont="1" applyBorder="1" applyAlignment="1" applyProtection="1">
      <alignment horizontal="center"/>
      <protection hidden="1"/>
    </xf>
    <xf numFmtId="10" fontId="15" fillId="0" borderId="12" xfId="0" applyNumberFormat="1" applyFont="1" applyBorder="1" applyAlignment="1" applyProtection="1">
      <alignment horizontal="center"/>
      <protection hidden="1"/>
    </xf>
    <xf numFmtId="0" fontId="4" fillId="0" borderId="11" xfId="0" applyFont="1" applyBorder="1" applyAlignment="1" applyProtection="1">
      <alignment horizontal="center"/>
      <protection hidden="1"/>
    </xf>
    <xf numFmtId="167" fontId="15" fillId="3" borderId="11" xfId="0" applyNumberFormat="1" applyFont="1" applyFill="1" applyBorder="1" applyAlignment="1" applyProtection="1">
      <alignment horizontal="left"/>
      <protection locked="0"/>
    </xf>
    <xf numFmtId="166" fontId="4" fillId="0" borderId="0" xfId="0" applyNumberFormat="1" applyFont="1" applyAlignment="1" applyProtection="1">
      <alignment horizontal="right" vertical="top" wrapText="1"/>
      <protection hidden="1"/>
    </xf>
    <xf numFmtId="0" fontId="15" fillId="3" borderId="15" xfId="0" applyFont="1" applyFill="1" applyBorder="1" applyAlignment="1" applyProtection="1">
      <alignment horizontal="center"/>
      <protection locked="0"/>
    </xf>
    <xf numFmtId="0" fontId="15" fillId="3" borderId="16" xfId="0" applyFont="1" applyFill="1" applyBorder="1" applyAlignment="1" applyProtection="1">
      <alignment horizontal="center"/>
      <protection locked="0"/>
    </xf>
    <xf numFmtId="0" fontId="15" fillId="3" borderId="20" xfId="0" applyFont="1" applyFill="1" applyBorder="1" applyAlignment="1" applyProtection="1">
      <alignment horizontal="center"/>
      <protection locked="0"/>
    </xf>
    <xf numFmtId="0" fontId="15" fillId="3" borderId="14" xfId="0" applyFont="1" applyFill="1" applyBorder="1" applyAlignment="1" applyProtection="1">
      <alignment horizontal="left"/>
      <protection locked="0"/>
    </xf>
    <xf numFmtId="0" fontId="4" fillId="0" borderId="0" xfId="0" applyFont="1" applyAlignment="1" applyProtection="1">
      <alignment horizontal="justify" vertical="top" wrapText="1"/>
      <protection hidden="1"/>
    </xf>
    <xf numFmtId="0" fontId="4" fillId="0" borderId="0" xfId="0" applyNumberFormat="1" applyFont="1" applyAlignment="1" applyProtection="1">
      <alignment horizontal="justify" vertical="top" wrapText="1"/>
      <protection hidden="1"/>
    </xf>
    <xf numFmtId="0" fontId="6" fillId="0" borderId="0" xfId="0" applyFont="1" applyBorder="1" applyAlignment="1" applyProtection="1">
      <alignment horizontal="justify" vertical="top" wrapText="1"/>
      <protection hidden="1"/>
    </xf>
    <xf numFmtId="14" fontId="15" fillId="3" borderId="13" xfId="0" applyNumberFormat="1" applyFont="1" applyFill="1" applyBorder="1" applyAlignment="1" applyProtection="1">
      <alignment horizontal="center"/>
      <protection locked="0"/>
    </xf>
    <xf numFmtId="14" fontId="15" fillId="3" borderId="14" xfId="0" applyNumberFormat="1" applyFont="1" applyFill="1" applyBorder="1" applyAlignment="1" applyProtection="1">
      <alignment horizontal="center"/>
      <protection locked="0"/>
    </xf>
    <xf numFmtId="0" fontId="25" fillId="0" borderId="8" xfId="0" applyFont="1" applyBorder="1" applyAlignment="1" applyProtection="1">
      <alignment horizontal="justify" vertical="top" wrapText="1"/>
      <protection hidden="1"/>
    </xf>
    <xf numFmtId="0" fontId="25" fillId="0" borderId="12" xfId="0" applyFont="1" applyBorder="1" applyAlignment="1" applyProtection="1">
      <alignment horizontal="justify" vertical="top" wrapText="1"/>
      <protection hidden="1"/>
    </xf>
    <xf numFmtId="0" fontId="25" fillId="0" borderId="21" xfId="0" applyFont="1" applyBorder="1" applyAlignment="1" applyProtection="1">
      <alignment horizontal="justify" vertical="top" wrapText="1"/>
      <protection hidden="1"/>
    </xf>
    <xf numFmtId="0" fontId="25" fillId="0" borderId="9" xfId="0" applyFont="1" applyBorder="1" applyAlignment="1" applyProtection="1">
      <alignment horizontal="justify" vertical="top" wrapText="1"/>
      <protection hidden="1"/>
    </xf>
    <xf numFmtId="0" fontId="25" fillId="0" borderId="0" xfId="0" applyFont="1" applyBorder="1" applyAlignment="1" applyProtection="1">
      <alignment horizontal="justify" vertical="top" wrapText="1"/>
      <protection hidden="1"/>
    </xf>
    <xf numFmtId="0" fontId="25" fillId="0" borderId="19" xfId="0" applyFont="1" applyBorder="1" applyAlignment="1" applyProtection="1">
      <alignment horizontal="justify" vertical="top" wrapText="1"/>
      <protection hidden="1"/>
    </xf>
    <xf numFmtId="0" fontId="25" fillId="0" borderId="13" xfId="0" applyFont="1" applyBorder="1" applyAlignment="1" applyProtection="1">
      <alignment horizontal="justify" vertical="top" wrapText="1"/>
      <protection hidden="1"/>
    </xf>
    <xf numFmtId="0" fontId="25" fillId="0" borderId="11" xfId="0" applyFont="1" applyBorder="1" applyAlignment="1" applyProtection="1">
      <alignment horizontal="justify" vertical="top" wrapText="1"/>
      <protection hidden="1"/>
    </xf>
    <xf numFmtId="0" fontId="25" fillId="0" borderId="14" xfId="0" applyFont="1" applyBorder="1" applyAlignment="1" applyProtection="1">
      <alignment horizontal="justify" vertical="top" wrapText="1"/>
      <protection hidden="1"/>
    </xf>
    <xf numFmtId="0" fontId="34" fillId="0" borderId="11" xfId="0" applyFont="1" applyBorder="1" applyAlignment="1">
      <alignment horizontal="center"/>
    </xf>
    <xf numFmtId="169" fontId="15" fillId="3" borderId="15" xfId="0" applyNumberFormat="1" applyFont="1" applyFill="1" applyBorder="1" applyAlignment="1" applyProtection="1">
      <alignment horizontal="right"/>
      <protection locked="0"/>
    </xf>
    <xf numFmtId="169" fontId="15" fillId="3" borderId="20" xfId="0" applyNumberFormat="1" applyFont="1" applyFill="1" applyBorder="1" applyAlignment="1" applyProtection="1">
      <alignment horizontal="right"/>
      <protection locked="0"/>
    </xf>
    <xf numFmtId="3" fontId="15" fillId="0" borderId="0" xfId="0" applyNumberFormat="1" applyFont="1" applyBorder="1" applyAlignment="1" applyProtection="1">
      <alignment horizontal="right"/>
      <protection hidden="1"/>
    </xf>
    <xf numFmtId="0" fontId="18" fillId="0" borderId="0" xfId="0" applyFont="1" applyAlignment="1" applyProtection="1">
      <alignment horizontal="left" wrapText="1"/>
      <protection hidden="1"/>
    </xf>
    <xf numFmtId="0" fontId="15" fillId="0" borderId="12"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20" xfId="0" applyFont="1" applyBorder="1" applyAlignment="1" applyProtection="1">
      <alignment horizontal="center"/>
      <protection hidden="1"/>
    </xf>
    <xf numFmtId="8" fontId="15" fillId="0" borderId="15" xfId="0" applyNumberFormat="1" applyFont="1" applyBorder="1" applyAlignment="1" applyProtection="1">
      <alignment horizontal="center"/>
      <protection hidden="1"/>
    </xf>
    <xf numFmtId="8" fontId="15" fillId="0" borderId="20" xfId="0" applyNumberFormat="1" applyFont="1" applyBorder="1" applyAlignment="1" applyProtection="1">
      <alignment horizontal="center"/>
      <protection hidden="1"/>
    </xf>
    <xf numFmtId="169" fontId="15" fillId="0" borderId="30" xfId="0" applyNumberFormat="1" applyFont="1" applyBorder="1" applyAlignment="1" applyProtection="1">
      <alignment horizontal="center"/>
      <protection hidden="1"/>
    </xf>
    <xf numFmtId="0" fontId="4" fillId="0" borderId="17" xfId="0" applyFont="1" applyBorder="1" applyAlignment="1" applyProtection="1">
      <alignment horizontal="center"/>
      <protection hidden="1"/>
    </xf>
    <xf numFmtId="164" fontId="0" fillId="0" borderId="0" xfId="0" applyNumberFormat="1" applyBorder="1" applyAlignment="1">
      <alignment horizontal="left"/>
    </xf>
    <xf numFmtId="0" fontId="4" fillId="0" borderId="25" xfId="0" applyFont="1" applyBorder="1" applyAlignment="1" applyProtection="1">
      <alignment horizontal="center" wrapText="1"/>
      <protection hidden="1"/>
    </xf>
    <xf numFmtId="0" fontId="4" fillId="0" borderId="34" xfId="0" applyFont="1" applyBorder="1" applyAlignment="1" applyProtection="1">
      <alignment horizontal="center" wrapText="1"/>
      <protection hidden="1"/>
    </xf>
    <xf numFmtId="0" fontId="0" fillId="0" borderId="0" xfId="0" applyBorder="1" applyAlignment="1" applyProtection="1">
      <alignment horizontal="center"/>
      <protection hidden="1"/>
    </xf>
    <xf numFmtId="0" fontId="0" fillId="0" borderId="19" xfId="0" applyBorder="1" applyAlignment="1" applyProtection="1">
      <alignment horizontal="center"/>
      <protection hidden="1"/>
    </xf>
    <xf numFmtId="0" fontId="4" fillId="0" borderId="26"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7" fontId="9" fillId="0" borderId="0" xfId="1" applyNumberFormat="1" applyFont="1" applyBorder="1" applyAlignment="1" applyProtection="1">
      <alignment horizontal="right"/>
      <protection hidden="1"/>
    </xf>
    <xf numFmtId="7" fontId="9" fillId="0" borderId="19" xfId="1" applyNumberFormat="1" applyFont="1" applyBorder="1" applyAlignment="1" applyProtection="1">
      <alignment horizontal="right"/>
      <protection hidden="1"/>
    </xf>
    <xf numFmtId="7" fontId="9" fillId="0" borderId="11" xfId="1" applyNumberFormat="1" applyFont="1" applyBorder="1" applyAlignment="1" applyProtection="1">
      <alignment horizontal="right"/>
      <protection hidden="1"/>
    </xf>
    <xf numFmtId="7" fontId="9" fillId="0" borderId="14" xfId="1" applyNumberFormat="1" applyFont="1" applyBorder="1" applyAlignment="1" applyProtection="1">
      <alignment horizontal="right"/>
      <protection hidden="1"/>
    </xf>
    <xf numFmtId="7" fontId="21" fillId="0" borderId="16" xfId="1" applyNumberFormat="1" applyFont="1" applyBorder="1" applyAlignment="1" applyProtection="1">
      <alignment horizontal="right"/>
      <protection hidden="1"/>
    </xf>
    <xf numFmtId="43" fontId="21" fillId="0" borderId="20" xfId="1" applyFont="1" applyBorder="1" applyAlignment="1" applyProtection="1">
      <alignment horizontal="right"/>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9" xfId="0" applyBorder="1" applyAlignment="1" applyProtection="1">
      <alignment horizontal="center"/>
      <protection hidden="1"/>
    </xf>
    <xf numFmtId="164" fontId="0" fillId="0" borderId="12" xfId="0" applyNumberFormat="1" applyBorder="1" applyAlignment="1" applyProtection="1">
      <alignment horizontal="left"/>
      <protection hidden="1"/>
    </xf>
    <xf numFmtId="0" fontId="4" fillId="0" borderId="30" xfId="0" applyFont="1" applyBorder="1" applyAlignment="1" applyProtection="1">
      <alignment horizontal="center" wrapText="1"/>
      <protection hidden="1"/>
    </xf>
    <xf numFmtId="0" fontId="4" fillId="0" borderId="11" xfId="0" applyFont="1" applyBorder="1" applyAlignment="1" applyProtection="1">
      <alignment horizontal="center" wrapText="1"/>
      <protection hidden="1"/>
    </xf>
    <xf numFmtId="0" fontId="21" fillId="0" borderId="32" xfId="0" applyFont="1" applyBorder="1" applyAlignment="1" applyProtection="1">
      <alignment horizontal="right"/>
      <protection hidden="1"/>
    </xf>
    <xf numFmtId="0" fontId="21" fillId="0" borderId="30" xfId="0" applyFont="1" applyBorder="1" applyAlignment="1" applyProtection="1">
      <alignment horizontal="right"/>
      <protection hidden="1"/>
    </xf>
    <xf numFmtId="7" fontId="21" fillId="0" borderId="30" xfId="0" applyNumberFormat="1" applyFont="1" applyBorder="1" applyAlignment="1" applyProtection="1">
      <alignment horizontal="right"/>
      <protection hidden="1"/>
    </xf>
    <xf numFmtId="7" fontId="21" fillId="0" borderId="33" xfId="0" applyNumberFormat="1" applyFont="1" applyBorder="1" applyAlignment="1" applyProtection="1">
      <alignment horizontal="right"/>
      <protection hidden="1"/>
    </xf>
    <xf numFmtId="0" fontId="21" fillId="0" borderId="17" xfId="0" applyFont="1" applyBorder="1" applyAlignment="1" applyProtection="1">
      <alignment horizontal="center"/>
      <protection hidden="1"/>
    </xf>
    <xf numFmtId="0" fontId="21" fillId="0" borderId="31" xfId="0" applyFont="1" applyBorder="1" applyAlignment="1" applyProtection="1">
      <alignment horizontal="center"/>
      <protection hidden="1"/>
    </xf>
    <xf numFmtId="168" fontId="1" fillId="0" borderId="0" xfId="0" applyNumberFormat="1" applyFont="1" applyBorder="1" applyAlignment="1" applyProtection="1">
      <alignment horizontal="center"/>
      <protection hidden="1"/>
    </xf>
    <xf numFmtId="168" fontId="1" fillId="0" borderId="19" xfId="0" applyNumberFormat="1" applyFont="1" applyBorder="1" applyAlignment="1" applyProtection="1">
      <alignment horizontal="center"/>
      <protection hidden="1"/>
    </xf>
    <xf numFmtId="7" fontId="9" fillId="0" borderId="12" xfId="1" applyNumberFormat="1" applyFont="1" applyBorder="1" applyAlignment="1" applyProtection="1">
      <alignment horizontal="right"/>
      <protection hidden="1"/>
    </xf>
    <xf numFmtId="7" fontId="9" fillId="0" borderId="21" xfId="1" applyNumberFormat="1" applyFont="1" applyBorder="1" applyAlignment="1" applyProtection="1">
      <alignment horizontal="right"/>
      <protection hidden="1"/>
    </xf>
    <xf numFmtId="7" fontId="21" fillId="0" borderId="20" xfId="1" applyNumberFormat="1" applyFont="1" applyBorder="1" applyAlignment="1" applyProtection="1">
      <alignment horizontal="right"/>
      <protection hidden="1"/>
    </xf>
    <xf numFmtId="164" fontId="1" fillId="0" borderId="0" xfId="0" applyNumberFormat="1" applyFont="1" applyBorder="1" applyAlignment="1" applyProtection="1">
      <alignment horizontal="left"/>
      <protection hidden="1"/>
    </xf>
    <xf numFmtId="3" fontId="43" fillId="0" borderId="9" xfId="0" applyNumberFormat="1" applyFont="1" applyBorder="1" applyAlignment="1" applyProtection="1">
      <alignment horizontal="justify" vertical="top" wrapText="1"/>
      <protection hidden="1"/>
    </xf>
    <xf numFmtId="3" fontId="43" fillId="0" borderId="0" xfId="0" applyNumberFormat="1" applyFont="1" applyBorder="1" applyAlignment="1" applyProtection="1">
      <alignment horizontal="justify" vertical="top" wrapText="1"/>
      <protection hidden="1"/>
    </xf>
    <xf numFmtId="10" fontId="31" fillId="0" borderId="6" xfId="0" applyNumberFormat="1" applyFont="1" applyBorder="1" applyAlignment="1">
      <alignment horizontal="center"/>
    </xf>
    <xf numFmtId="0" fontId="0" fillId="0" borderId="6" xfId="0" applyBorder="1" applyAlignment="1">
      <alignment horizontal="center" wrapText="1"/>
    </xf>
    <xf numFmtId="0" fontId="0" fillId="0" borderId="6" xfId="0" applyBorder="1" applyAlignment="1">
      <alignment horizontal="center"/>
    </xf>
    <xf numFmtId="168" fontId="15" fillId="0" borderId="6" xfId="0" applyNumberFormat="1" applyFont="1" applyBorder="1" applyAlignment="1">
      <alignment horizontal="center"/>
    </xf>
    <xf numFmtId="0" fontId="15" fillId="0" borderId="6" xfId="0" applyFont="1" applyBorder="1" applyAlignment="1">
      <alignment horizontal="center"/>
    </xf>
    <xf numFmtId="10" fontId="31" fillId="0" borderId="15" xfId="0" applyNumberFormat="1" applyFont="1" applyFill="1" applyBorder="1" applyAlignment="1">
      <alignment horizontal="center"/>
    </xf>
    <xf numFmtId="10" fontId="31" fillId="0" borderId="20" xfId="0" applyNumberFormat="1" applyFont="1" applyFill="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center" wrapText="1"/>
    </xf>
    <xf numFmtId="0" fontId="15" fillId="0" borderId="0" xfId="0" applyFont="1" applyAlignment="1">
      <alignment horizontal="left"/>
    </xf>
    <xf numFmtId="0" fontId="6" fillId="0" borderId="0" xfId="0" applyFont="1" applyBorder="1" applyAlignment="1">
      <alignment horizontal="center"/>
    </xf>
    <xf numFmtId="0" fontId="6" fillId="0" borderId="19" xfId="0" applyFont="1" applyBorder="1" applyAlignment="1">
      <alignment horizontal="center"/>
    </xf>
  </cellXfs>
  <cellStyles count="3">
    <cellStyle name="Comma" xfId="1" builtinId="3"/>
    <cellStyle name="Hyperlink" xfId="2" builtinId="8"/>
    <cellStyle name="Normal" xfId="0" builtinId="0"/>
  </cellStyles>
  <dxfs count="37">
    <dxf>
      <font>
        <b/>
        <i val="0"/>
        <condense val="0"/>
        <extend val="0"/>
        <color indexed="17"/>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condense val="0"/>
        <extend val="0"/>
        <color indexed="8"/>
      </font>
    </dxf>
    <dxf>
      <font>
        <condense val="0"/>
        <extend val="0"/>
        <color indexed="17"/>
      </font>
    </dxf>
    <dxf>
      <font>
        <condense val="0"/>
        <extend val="0"/>
        <color indexed="10"/>
      </font>
    </dxf>
    <dxf>
      <font>
        <condense val="0"/>
        <extend val="0"/>
        <color indexed="8"/>
      </font>
    </dxf>
    <dxf>
      <font>
        <condense val="0"/>
        <extend val="0"/>
        <color indexed="17"/>
      </font>
    </dxf>
    <dxf>
      <font>
        <condense val="0"/>
        <extend val="0"/>
        <color indexed="10"/>
      </font>
    </dxf>
    <dxf>
      <font>
        <condense val="0"/>
        <extend val="0"/>
        <color indexed="10"/>
      </font>
    </dxf>
    <dxf>
      <font>
        <condense val="0"/>
        <extend val="0"/>
        <color indexed="17"/>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condense val="0"/>
        <extend val="0"/>
        <color indexed="8"/>
      </font>
    </dxf>
    <dxf>
      <font>
        <condense val="0"/>
        <extend val="0"/>
        <color indexed="10"/>
      </font>
    </dxf>
    <dxf>
      <font>
        <condense val="0"/>
        <extend val="0"/>
        <color indexed="17"/>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7"/>
      </font>
    </dxf>
    <dxf>
      <font>
        <b/>
        <i val="0"/>
        <condense val="0"/>
        <extend val="0"/>
        <color indexed="10"/>
      </font>
    </dxf>
  </dxfs>
  <tableStyles count="0" defaultTableStyle="TableStyleMedium9" defaultPivotStyle="PivotStyleLight16"/>
  <colors>
    <mruColors>
      <color rgb="FF008000"/>
      <color rgb="FF00823B"/>
      <color rgb="FF006C31"/>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133350</xdr:rowOff>
    </xdr:from>
    <xdr:to>
      <xdr:col>1</xdr:col>
      <xdr:colOff>400050</xdr:colOff>
      <xdr:row>5</xdr:row>
      <xdr:rowOff>85725</xdr:rowOff>
    </xdr:to>
    <xdr:pic>
      <xdr:nvPicPr>
        <xdr:cNvPr id="6507"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09550" y="133350"/>
          <a:ext cx="781050" cy="762000"/>
        </a:xfrm>
        <a:prstGeom prst="rect">
          <a:avLst/>
        </a:prstGeom>
        <a:noFill/>
        <a:ln w="9525">
          <a:noFill/>
          <a:miter lim="800000"/>
          <a:headEnd/>
          <a:tailEnd/>
        </a:ln>
      </xdr:spPr>
    </xdr:pic>
    <xdr:clientData/>
  </xdr:twoCellAnchor>
  <xdr:twoCellAnchor>
    <xdr:from>
      <xdr:col>5</xdr:col>
      <xdr:colOff>28575</xdr:colOff>
      <xdr:row>215</xdr:row>
      <xdr:rowOff>38100</xdr:rowOff>
    </xdr:from>
    <xdr:to>
      <xdr:col>9</xdr:col>
      <xdr:colOff>552450</xdr:colOff>
      <xdr:row>220</xdr:row>
      <xdr:rowOff>114300</xdr:rowOff>
    </xdr:to>
    <xdr:sp macro="" textlink="">
      <xdr:nvSpPr>
        <xdr:cNvPr id="1030" name="Text Box 6"/>
        <xdr:cNvSpPr txBox="1">
          <a:spLocks noChangeArrowheads="1"/>
        </xdr:cNvSpPr>
      </xdr:nvSpPr>
      <xdr:spPr bwMode="auto">
        <a:xfrm>
          <a:off x="3000375" y="26946225"/>
          <a:ext cx="2962275" cy="8858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Disclaimer: DWS-HCDD assumes no responsibility for any problems incurred in using this spreadsheet or for the accuracy of the calculations.  </a:t>
          </a:r>
          <a:r>
            <a:rPr lang="en-US" sz="1000" b="0" i="0" u="sng" strike="noStrike" baseline="0">
              <a:solidFill>
                <a:srgbClr val="000000"/>
              </a:solidFill>
              <a:latin typeface="Arial"/>
              <a:cs typeface="Arial"/>
            </a:rPr>
            <a:t>Check your application for correctness and completeness before submitting</a:t>
          </a:r>
          <a:r>
            <a:rPr lang="en-US" sz="1000" b="0" i="0" u="none" strike="noStrike" baseline="0">
              <a:solidFill>
                <a:srgbClr val="000000"/>
              </a:solidFill>
              <a:latin typeface="Arial"/>
              <a:cs typeface="Arial"/>
            </a:rPr>
            <a:t>.</a:t>
          </a:r>
          <a:endParaRPr lang="en-US" sz="1000" b="0" i="0" u="none" strike="noStrike" baseline="0">
            <a:solidFill>
              <a:srgbClr val="000000"/>
            </a:solidFill>
            <a:latin typeface="Courier"/>
          </a:endParaRPr>
        </a:p>
        <a:p>
          <a:pPr algn="l" rtl="0">
            <a:defRPr sz="1000"/>
          </a:pPr>
          <a:endParaRPr lang="en-US" sz="1000" b="0" i="0" u="none" strike="noStrike" baseline="0">
            <a:solidFill>
              <a:srgbClr val="000000"/>
            </a:solidFill>
            <a:latin typeface="Courier"/>
          </a:endParaRPr>
        </a:p>
        <a:p>
          <a:pPr algn="l" rtl="0">
            <a:defRPr sz="1000"/>
          </a:pPr>
          <a:endParaRPr lang="en-US" sz="1000" b="0" i="0" u="none" strike="noStrike" baseline="0">
            <a:solidFill>
              <a:srgbClr val="000000"/>
            </a:solidFill>
            <a:latin typeface="Courier"/>
          </a:endParaRPr>
        </a:p>
      </xdr:txBody>
    </xdr:sp>
    <xdr:clientData fPrintsWithSheet="0"/>
  </xdr:twoCellAnchor>
  <xdr:twoCellAnchor>
    <xdr:from>
      <xdr:col>0</xdr:col>
      <xdr:colOff>209550</xdr:colOff>
      <xdr:row>107</xdr:row>
      <xdr:rowOff>19050</xdr:rowOff>
    </xdr:from>
    <xdr:to>
      <xdr:col>1</xdr:col>
      <xdr:colOff>400050</xdr:colOff>
      <xdr:row>111</xdr:row>
      <xdr:rowOff>133350</xdr:rowOff>
    </xdr:to>
    <xdr:pic>
      <xdr:nvPicPr>
        <xdr:cNvPr id="6511" name="Picture 16"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09550" y="17516475"/>
          <a:ext cx="781050" cy="762000"/>
        </a:xfrm>
        <a:prstGeom prst="rect">
          <a:avLst/>
        </a:prstGeom>
        <a:noFill/>
        <a:ln w="9525">
          <a:noFill/>
          <a:miter lim="800000"/>
          <a:headEnd/>
          <a:tailEnd/>
        </a:ln>
      </xdr:spPr>
    </xdr:pic>
    <xdr:clientData/>
  </xdr:twoCellAnchor>
  <xdr:twoCellAnchor>
    <xdr:from>
      <xdr:col>0</xdr:col>
      <xdr:colOff>180975</xdr:colOff>
      <xdr:row>264</xdr:row>
      <xdr:rowOff>19050</xdr:rowOff>
    </xdr:from>
    <xdr:to>
      <xdr:col>1</xdr:col>
      <xdr:colOff>371475</xdr:colOff>
      <xdr:row>268</xdr:row>
      <xdr:rowOff>133350</xdr:rowOff>
    </xdr:to>
    <xdr:pic>
      <xdr:nvPicPr>
        <xdr:cNvPr id="6512" name="Picture 19"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180975" y="42910125"/>
          <a:ext cx="781050" cy="762000"/>
        </a:xfrm>
        <a:prstGeom prst="rect">
          <a:avLst/>
        </a:prstGeom>
        <a:noFill/>
        <a:ln w="9525">
          <a:noFill/>
          <a:miter lim="800000"/>
          <a:headEnd/>
          <a:tailEnd/>
        </a:ln>
      </xdr:spPr>
    </xdr:pic>
    <xdr:clientData/>
  </xdr:twoCellAnchor>
  <xdr:twoCellAnchor>
    <xdr:from>
      <xdr:col>0</xdr:col>
      <xdr:colOff>171450</xdr:colOff>
      <xdr:row>318</xdr:row>
      <xdr:rowOff>19050</xdr:rowOff>
    </xdr:from>
    <xdr:to>
      <xdr:col>1</xdr:col>
      <xdr:colOff>352425</xdr:colOff>
      <xdr:row>322</xdr:row>
      <xdr:rowOff>133350</xdr:rowOff>
    </xdr:to>
    <xdr:pic>
      <xdr:nvPicPr>
        <xdr:cNvPr id="6516" name="Picture 29" descr="statesealBlue"/>
        <xdr:cNvPicPr>
          <a:picLocks noChangeAspect="1" noChangeArrowheads="1"/>
        </xdr:cNvPicPr>
      </xdr:nvPicPr>
      <xdr:blipFill>
        <a:blip xmlns:r="http://schemas.openxmlformats.org/officeDocument/2006/relationships" r:embed="rId2" cstate="print"/>
        <a:srcRect/>
        <a:stretch>
          <a:fillRect/>
        </a:stretch>
      </xdr:blipFill>
      <xdr:spPr bwMode="auto">
        <a:xfrm>
          <a:off x="171450" y="51654075"/>
          <a:ext cx="771525" cy="762000"/>
        </a:xfrm>
        <a:prstGeom prst="rect">
          <a:avLst/>
        </a:prstGeom>
        <a:noFill/>
        <a:ln w="9525">
          <a:noFill/>
          <a:miter lim="800000"/>
          <a:headEnd/>
          <a:tailEnd/>
        </a:ln>
      </xdr:spPr>
    </xdr:pic>
    <xdr:clientData/>
  </xdr:twoCellAnchor>
  <xdr:twoCellAnchor>
    <xdr:from>
      <xdr:col>0</xdr:col>
      <xdr:colOff>180975</xdr:colOff>
      <xdr:row>426</xdr:row>
      <xdr:rowOff>47625</xdr:rowOff>
    </xdr:from>
    <xdr:to>
      <xdr:col>1</xdr:col>
      <xdr:colOff>361950</xdr:colOff>
      <xdr:row>430</xdr:row>
      <xdr:rowOff>114300</xdr:rowOff>
    </xdr:to>
    <xdr:pic>
      <xdr:nvPicPr>
        <xdr:cNvPr id="6518" name="Picture 31"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69256275"/>
          <a:ext cx="771525" cy="714375"/>
        </a:xfrm>
        <a:prstGeom prst="rect">
          <a:avLst/>
        </a:prstGeom>
        <a:noFill/>
        <a:ln w="9525">
          <a:noFill/>
          <a:miter lim="800000"/>
          <a:headEnd/>
          <a:tailEnd/>
        </a:ln>
      </xdr:spPr>
    </xdr:pic>
    <xdr:clientData/>
  </xdr:twoCellAnchor>
  <xdr:twoCellAnchor>
    <xdr:from>
      <xdr:col>0</xdr:col>
      <xdr:colOff>180975</xdr:colOff>
      <xdr:row>372</xdr:row>
      <xdr:rowOff>19050</xdr:rowOff>
    </xdr:from>
    <xdr:to>
      <xdr:col>1</xdr:col>
      <xdr:colOff>361950</xdr:colOff>
      <xdr:row>376</xdr:row>
      <xdr:rowOff>133350</xdr:rowOff>
    </xdr:to>
    <xdr:pic>
      <xdr:nvPicPr>
        <xdr:cNvPr id="6520" name="Picture 33" descr="statesealBlue"/>
        <xdr:cNvPicPr>
          <a:picLocks noChangeAspect="1" noChangeArrowheads="1"/>
        </xdr:cNvPicPr>
      </xdr:nvPicPr>
      <xdr:blipFill>
        <a:blip xmlns:r="http://schemas.openxmlformats.org/officeDocument/2006/relationships" r:embed="rId2" cstate="print"/>
        <a:srcRect/>
        <a:stretch>
          <a:fillRect/>
        </a:stretch>
      </xdr:blipFill>
      <xdr:spPr bwMode="auto">
        <a:xfrm>
          <a:off x="180975" y="60436125"/>
          <a:ext cx="771525" cy="762000"/>
        </a:xfrm>
        <a:prstGeom prst="rect">
          <a:avLst/>
        </a:prstGeom>
        <a:noFill/>
        <a:ln w="9525">
          <a:noFill/>
          <a:miter lim="800000"/>
          <a:headEnd/>
          <a:tailEnd/>
        </a:ln>
      </xdr:spPr>
    </xdr:pic>
    <xdr:clientData/>
  </xdr:twoCellAnchor>
  <xdr:twoCellAnchor>
    <xdr:from>
      <xdr:col>0</xdr:col>
      <xdr:colOff>180975</xdr:colOff>
      <xdr:row>480</xdr:row>
      <xdr:rowOff>38100</xdr:rowOff>
    </xdr:from>
    <xdr:to>
      <xdr:col>1</xdr:col>
      <xdr:colOff>361950</xdr:colOff>
      <xdr:row>484</xdr:row>
      <xdr:rowOff>114300</xdr:rowOff>
    </xdr:to>
    <xdr:pic>
      <xdr:nvPicPr>
        <xdr:cNvPr id="6522" name="Picture 35" descr="statesealBlue"/>
        <xdr:cNvPicPr>
          <a:picLocks noChangeAspect="1" noChangeArrowheads="1"/>
        </xdr:cNvPicPr>
      </xdr:nvPicPr>
      <xdr:blipFill>
        <a:blip xmlns:r="http://schemas.openxmlformats.org/officeDocument/2006/relationships" r:embed="rId4" cstate="print"/>
        <a:srcRect/>
        <a:stretch>
          <a:fillRect/>
        </a:stretch>
      </xdr:blipFill>
      <xdr:spPr bwMode="auto">
        <a:xfrm>
          <a:off x="180975" y="77847825"/>
          <a:ext cx="771525" cy="723900"/>
        </a:xfrm>
        <a:prstGeom prst="rect">
          <a:avLst/>
        </a:prstGeom>
        <a:noFill/>
        <a:ln w="9525">
          <a:noFill/>
          <a:miter lim="800000"/>
          <a:headEnd/>
          <a:tailEnd/>
        </a:ln>
      </xdr:spPr>
    </xdr:pic>
    <xdr:clientData/>
  </xdr:twoCellAnchor>
  <xdr:twoCellAnchor>
    <xdr:from>
      <xdr:col>0</xdr:col>
      <xdr:colOff>180975</xdr:colOff>
      <xdr:row>533</xdr:row>
      <xdr:rowOff>47625</xdr:rowOff>
    </xdr:from>
    <xdr:to>
      <xdr:col>1</xdr:col>
      <xdr:colOff>361950</xdr:colOff>
      <xdr:row>537</xdr:row>
      <xdr:rowOff>123825</xdr:rowOff>
    </xdr:to>
    <xdr:pic>
      <xdr:nvPicPr>
        <xdr:cNvPr id="6524" name="Picture 37" descr="statesealBlue"/>
        <xdr:cNvPicPr>
          <a:picLocks noChangeAspect="1" noChangeArrowheads="1"/>
        </xdr:cNvPicPr>
      </xdr:nvPicPr>
      <xdr:blipFill>
        <a:blip xmlns:r="http://schemas.openxmlformats.org/officeDocument/2006/relationships" r:embed="rId4" cstate="print"/>
        <a:srcRect/>
        <a:stretch>
          <a:fillRect/>
        </a:stretch>
      </xdr:blipFill>
      <xdr:spPr bwMode="auto">
        <a:xfrm>
          <a:off x="180975" y="86610825"/>
          <a:ext cx="771525" cy="723900"/>
        </a:xfrm>
        <a:prstGeom prst="rect">
          <a:avLst/>
        </a:prstGeom>
        <a:noFill/>
        <a:ln w="9525">
          <a:noFill/>
          <a:miter lim="800000"/>
          <a:headEnd/>
          <a:tailEnd/>
        </a:ln>
      </xdr:spPr>
    </xdr:pic>
    <xdr:clientData/>
  </xdr:twoCellAnchor>
  <xdr:twoCellAnchor>
    <xdr:from>
      <xdr:col>0</xdr:col>
      <xdr:colOff>180975</xdr:colOff>
      <xdr:row>586</xdr:row>
      <xdr:rowOff>47625</xdr:rowOff>
    </xdr:from>
    <xdr:to>
      <xdr:col>1</xdr:col>
      <xdr:colOff>371475</xdr:colOff>
      <xdr:row>590</xdr:row>
      <xdr:rowOff>114300</xdr:rowOff>
    </xdr:to>
    <xdr:pic>
      <xdr:nvPicPr>
        <xdr:cNvPr id="6526" name="Picture 39" descr="statesealBlue"/>
        <xdr:cNvPicPr>
          <a:picLocks noChangeAspect="1" noChangeArrowheads="1"/>
        </xdr:cNvPicPr>
      </xdr:nvPicPr>
      <xdr:blipFill>
        <a:blip xmlns:r="http://schemas.openxmlformats.org/officeDocument/2006/relationships" r:embed="rId5" cstate="print"/>
        <a:srcRect/>
        <a:stretch>
          <a:fillRect/>
        </a:stretch>
      </xdr:blipFill>
      <xdr:spPr bwMode="auto">
        <a:xfrm>
          <a:off x="180975" y="95192850"/>
          <a:ext cx="781050" cy="714375"/>
        </a:xfrm>
        <a:prstGeom prst="rect">
          <a:avLst/>
        </a:prstGeom>
        <a:noFill/>
        <a:ln w="9525">
          <a:noFill/>
          <a:miter lim="800000"/>
          <a:headEnd/>
          <a:tailEnd/>
        </a:ln>
      </xdr:spPr>
    </xdr:pic>
    <xdr:clientData/>
  </xdr:twoCellAnchor>
  <xdr:twoCellAnchor>
    <xdr:from>
      <xdr:col>0</xdr:col>
      <xdr:colOff>180975</xdr:colOff>
      <xdr:row>640</xdr:row>
      <xdr:rowOff>47625</xdr:rowOff>
    </xdr:from>
    <xdr:to>
      <xdr:col>1</xdr:col>
      <xdr:colOff>361950</xdr:colOff>
      <xdr:row>644</xdr:row>
      <xdr:rowOff>114300</xdr:rowOff>
    </xdr:to>
    <xdr:pic>
      <xdr:nvPicPr>
        <xdr:cNvPr id="6528" name="Picture 41"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103936800"/>
          <a:ext cx="771525" cy="714375"/>
        </a:xfrm>
        <a:prstGeom prst="rect">
          <a:avLst/>
        </a:prstGeom>
        <a:noFill/>
        <a:ln w="9525">
          <a:noFill/>
          <a:miter lim="800000"/>
          <a:headEnd/>
          <a:tailEnd/>
        </a:ln>
      </xdr:spPr>
    </xdr:pic>
    <xdr:clientData/>
  </xdr:twoCellAnchor>
  <xdr:twoCellAnchor>
    <xdr:from>
      <xdr:col>0</xdr:col>
      <xdr:colOff>180975</xdr:colOff>
      <xdr:row>691</xdr:row>
      <xdr:rowOff>47625</xdr:rowOff>
    </xdr:from>
    <xdr:to>
      <xdr:col>1</xdr:col>
      <xdr:colOff>371475</xdr:colOff>
      <xdr:row>695</xdr:row>
      <xdr:rowOff>123825</xdr:rowOff>
    </xdr:to>
    <xdr:pic>
      <xdr:nvPicPr>
        <xdr:cNvPr id="6530" name="Picture 43" descr="statesealBlue"/>
        <xdr:cNvPicPr>
          <a:picLocks noChangeAspect="1" noChangeArrowheads="1"/>
        </xdr:cNvPicPr>
      </xdr:nvPicPr>
      <xdr:blipFill>
        <a:blip xmlns:r="http://schemas.openxmlformats.org/officeDocument/2006/relationships" r:embed="rId6" cstate="print"/>
        <a:srcRect/>
        <a:stretch>
          <a:fillRect/>
        </a:stretch>
      </xdr:blipFill>
      <xdr:spPr bwMode="auto">
        <a:xfrm>
          <a:off x="180975" y="112194975"/>
          <a:ext cx="781050" cy="723900"/>
        </a:xfrm>
        <a:prstGeom prst="rect">
          <a:avLst/>
        </a:prstGeom>
        <a:noFill/>
        <a:ln w="9525">
          <a:noFill/>
          <a:miter lim="800000"/>
          <a:headEnd/>
          <a:tailEnd/>
        </a:ln>
      </xdr:spPr>
    </xdr:pic>
    <xdr:clientData/>
  </xdr:twoCellAnchor>
  <xdr:twoCellAnchor>
    <xdr:from>
      <xdr:col>0</xdr:col>
      <xdr:colOff>180975</xdr:colOff>
      <xdr:row>743</xdr:row>
      <xdr:rowOff>47625</xdr:rowOff>
    </xdr:from>
    <xdr:to>
      <xdr:col>1</xdr:col>
      <xdr:colOff>361950</xdr:colOff>
      <xdr:row>747</xdr:row>
      <xdr:rowOff>114300</xdr:rowOff>
    </xdr:to>
    <xdr:pic>
      <xdr:nvPicPr>
        <xdr:cNvPr id="6532" name="Picture 45"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120615075"/>
          <a:ext cx="771525" cy="714375"/>
        </a:xfrm>
        <a:prstGeom prst="rect">
          <a:avLst/>
        </a:prstGeom>
        <a:noFill/>
        <a:ln w="9525">
          <a:noFill/>
          <a:miter lim="800000"/>
          <a:headEnd/>
          <a:tailEnd/>
        </a:ln>
      </xdr:spPr>
    </xdr:pic>
    <xdr:clientData/>
  </xdr:twoCellAnchor>
  <xdr:twoCellAnchor>
    <xdr:from>
      <xdr:col>7</xdr:col>
      <xdr:colOff>247650</xdr:colOff>
      <xdr:row>47</xdr:row>
      <xdr:rowOff>47625</xdr:rowOff>
    </xdr:from>
    <xdr:to>
      <xdr:col>9</xdr:col>
      <xdr:colOff>352425</xdr:colOff>
      <xdr:row>51</xdr:row>
      <xdr:rowOff>85725</xdr:rowOff>
    </xdr:to>
    <xdr:pic>
      <xdr:nvPicPr>
        <xdr:cNvPr id="6534" name="Picture 47"/>
        <xdr:cNvPicPr>
          <a:picLocks noChangeAspect="1" noChangeArrowheads="1"/>
        </xdr:cNvPicPr>
      </xdr:nvPicPr>
      <xdr:blipFill>
        <a:blip xmlns:r="http://schemas.openxmlformats.org/officeDocument/2006/relationships" r:embed="rId7" cstate="print"/>
        <a:srcRect/>
        <a:stretch>
          <a:fillRect/>
        </a:stretch>
      </xdr:blipFill>
      <xdr:spPr bwMode="auto">
        <a:xfrm>
          <a:off x="4476750" y="7810500"/>
          <a:ext cx="1314450" cy="685800"/>
        </a:xfrm>
        <a:prstGeom prst="rect">
          <a:avLst/>
        </a:prstGeom>
        <a:noFill/>
        <a:ln w="9525">
          <a:noFill/>
          <a:miter lim="800000"/>
          <a:headEnd/>
          <a:tailEnd/>
        </a:ln>
      </xdr:spPr>
    </xdr:pic>
    <xdr:clientData/>
  </xdr:twoCellAnchor>
  <xdr:twoCellAnchor>
    <xdr:from>
      <xdr:col>0</xdr:col>
      <xdr:colOff>171450</xdr:colOff>
      <xdr:row>797</xdr:row>
      <xdr:rowOff>47625</xdr:rowOff>
    </xdr:from>
    <xdr:to>
      <xdr:col>1</xdr:col>
      <xdr:colOff>352425</xdr:colOff>
      <xdr:row>801</xdr:row>
      <xdr:rowOff>114300</xdr:rowOff>
    </xdr:to>
    <xdr:pic>
      <xdr:nvPicPr>
        <xdr:cNvPr id="6535" name="Picture 72"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71450" y="129359025"/>
          <a:ext cx="771525" cy="714375"/>
        </a:xfrm>
        <a:prstGeom prst="rect">
          <a:avLst/>
        </a:prstGeom>
        <a:noFill/>
        <a:ln w="9525">
          <a:noFill/>
          <a:miter lim="800000"/>
          <a:headEnd/>
          <a:tailEnd/>
        </a:ln>
      </xdr:spPr>
    </xdr:pic>
    <xdr:clientData/>
  </xdr:twoCellAnchor>
  <xdr:twoCellAnchor>
    <xdr:from>
      <xdr:col>0</xdr:col>
      <xdr:colOff>180975</xdr:colOff>
      <xdr:row>846</xdr:row>
      <xdr:rowOff>47625</xdr:rowOff>
    </xdr:from>
    <xdr:to>
      <xdr:col>1</xdr:col>
      <xdr:colOff>371475</xdr:colOff>
      <xdr:row>850</xdr:row>
      <xdr:rowOff>114300</xdr:rowOff>
    </xdr:to>
    <xdr:pic>
      <xdr:nvPicPr>
        <xdr:cNvPr id="6537" name="Picture 74" descr="statesealBlue"/>
        <xdr:cNvPicPr>
          <a:picLocks noChangeAspect="1" noChangeArrowheads="1"/>
        </xdr:cNvPicPr>
      </xdr:nvPicPr>
      <xdr:blipFill>
        <a:blip xmlns:r="http://schemas.openxmlformats.org/officeDocument/2006/relationships" r:embed="rId5" cstate="print"/>
        <a:srcRect/>
        <a:stretch>
          <a:fillRect/>
        </a:stretch>
      </xdr:blipFill>
      <xdr:spPr bwMode="auto">
        <a:xfrm>
          <a:off x="180975" y="137293350"/>
          <a:ext cx="781050" cy="714375"/>
        </a:xfrm>
        <a:prstGeom prst="rect">
          <a:avLst/>
        </a:prstGeom>
        <a:noFill/>
        <a:ln w="9525">
          <a:noFill/>
          <a:miter lim="800000"/>
          <a:headEnd/>
          <a:tailEnd/>
        </a:ln>
      </xdr:spPr>
    </xdr:pic>
    <xdr:clientData/>
  </xdr:twoCellAnchor>
  <xdr:twoCellAnchor>
    <xdr:from>
      <xdr:col>0</xdr:col>
      <xdr:colOff>180975</xdr:colOff>
      <xdr:row>899</xdr:row>
      <xdr:rowOff>47625</xdr:rowOff>
    </xdr:from>
    <xdr:to>
      <xdr:col>1</xdr:col>
      <xdr:colOff>371475</xdr:colOff>
      <xdr:row>903</xdr:row>
      <xdr:rowOff>114300</xdr:rowOff>
    </xdr:to>
    <xdr:pic>
      <xdr:nvPicPr>
        <xdr:cNvPr id="6539" name="Picture 76" descr="statesealBlue"/>
        <xdr:cNvPicPr>
          <a:picLocks noChangeAspect="1" noChangeArrowheads="1"/>
        </xdr:cNvPicPr>
      </xdr:nvPicPr>
      <xdr:blipFill>
        <a:blip xmlns:r="http://schemas.openxmlformats.org/officeDocument/2006/relationships" r:embed="rId5" cstate="print"/>
        <a:srcRect/>
        <a:stretch>
          <a:fillRect/>
        </a:stretch>
      </xdr:blipFill>
      <xdr:spPr bwMode="auto">
        <a:xfrm>
          <a:off x="180975" y="145875375"/>
          <a:ext cx="781050" cy="714375"/>
        </a:xfrm>
        <a:prstGeom prst="rect">
          <a:avLst/>
        </a:prstGeom>
        <a:noFill/>
        <a:ln w="9525">
          <a:noFill/>
          <a:miter lim="800000"/>
          <a:headEnd/>
          <a:tailEnd/>
        </a:ln>
      </xdr:spPr>
    </xdr:pic>
    <xdr:clientData/>
  </xdr:twoCellAnchor>
  <xdr:twoCellAnchor>
    <xdr:from>
      <xdr:col>0</xdr:col>
      <xdr:colOff>180975</xdr:colOff>
      <xdr:row>952</xdr:row>
      <xdr:rowOff>47625</xdr:rowOff>
    </xdr:from>
    <xdr:to>
      <xdr:col>1</xdr:col>
      <xdr:colOff>361950</xdr:colOff>
      <xdr:row>956</xdr:row>
      <xdr:rowOff>123825</xdr:rowOff>
    </xdr:to>
    <xdr:pic>
      <xdr:nvPicPr>
        <xdr:cNvPr id="6541" name="Picture 78" descr="statesealBlue"/>
        <xdr:cNvPicPr>
          <a:picLocks noChangeAspect="1" noChangeArrowheads="1"/>
        </xdr:cNvPicPr>
      </xdr:nvPicPr>
      <xdr:blipFill>
        <a:blip xmlns:r="http://schemas.openxmlformats.org/officeDocument/2006/relationships" r:embed="rId4" cstate="print"/>
        <a:srcRect/>
        <a:stretch>
          <a:fillRect/>
        </a:stretch>
      </xdr:blipFill>
      <xdr:spPr bwMode="auto">
        <a:xfrm>
          <a:off x="180975" y="154466925"/>
          <a:ext cx="771525" cy="723900"/>
        </a:xfrm>
        <a:prstGeom prst="rect">
          <a:avLst/>
        </a:prstGeom>
        <a:noFill/>
        <a:ln w="9525">
          <a:noFill/>
          <a:miter lim="800000"/>
          <a:headEnd/>
          <a:tailEnd/>
        </a:ln>
      </xdr:spPr>
    </xdr:pic>
    <xdr:clientData/>
  </xdr:twoCellAnchor>
  <xdr:twoCellAnchor>
    <xdr:from>
      <xdr:col>0</xdr:col>
      <xdr:colOff>180975</xdr:colOff>
      <xdr:row>1007</xdr:row>
      <xdr:rowOff>47625</xdr:rowOff>
    </xdr:from>
    <xdr:to>
      <xdr:col>1</xdr:col>
      <xdr:colOff>361950</xdr:colOff>
      <xdr:row>1011</xdr:row>
      <xdr:rowOff>114300</xdr:rowOff>
    </xdr:to>
    <xdr:pic>
      <xdr:nvPicPr>
        <xdr:cNvPr id="6543" name="Picture 80"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163115625"/>
          <a:ext cx="771525" cy="714375"/>
        </a:xfrm>
        <a:prstGeom prst="rect">
          <a:avLst/>
        </a:prstGeom>
        <a:noFill/>
        <a:ln w="9525">
          <a:noFill/>
          <a:miter lim="800000"/>
          <a:headEnd/>
          <a:tailEnd/>
        </a:ln>
      </xdr:spPr>
    </xdr:pic>
    <xdr:clientData/>
  </xdr:twoCellAnchor>
  <xdr:twoCellAnchor>
    <xdr:from>
      <xdr:col>0</xdr:col>
      <xdr:colOff>180975</xdr:colOff>
      <xdr:row>1062</xdr:row>
      <xdr:rowOff>0</xdr:rowOff>
    </xdr:from>
    <xdr:to>
      <xdr:col>1</xdr:col>
      <xdr:colOff>361950</xdr:colOff>
      <xdr:row>1062</xdr:row>
      <xdr:rowOff>0</xdr:rowOff>
    </xdr:to>
    <xdr:pic>
      <xdr:nvPicPr>
        <xdr:cNvPr id="6545" name="Picture 96" descr="statesealBlue"/>
        <xdr:cNvPicPr>
          <a:picLocks noChangeAspect="1" noChangeArrowheads="1"/>
        </xdr:cNvPicPr>
      </xdr:nvPicPr>
      <xdr:blipFill>
        <a:blip xmlns:r="http://schemas.openxmlformats.org/officeDocument/2006/relationships" r:embed="rId8"/>
        <a:srcRect/>
        <a:stretch>
          <a:fillRect/>
        </a:stretch>
      </xdr:blipFill>
      <xdr:spPr bwMode="auto">
        <a:xfrm>
          <a:off x="180975" y="171811950"/>
          <a:ext cx="771525" cy="0"/>
        </a:xfrm>
        <a:prstGeom prst="rect">
          <a:avLst/>
        </a:prstGeom>
        <a:noFill/>
        <a:ln w="9525">
          <a:noFill/>
          <a:miter lim="800000"/>
          <a:headEnd/>
          <a:tailEnd/>
        </a:ln>
      </xdr:spPr>
    </xdr:pic>
    <xdr:clientData/>
  </xdr:twoCellAnchor>
  <xdr:twoCellAnchor>
    <xdr:from>
      <xdr:col>7</xdr:col>
      <xdr:colOff>504825</xdr:colOff>
      <xdr:row>1062</xdr:row>
      <xdr:rowOff>0</xdr:rowOff>
    </xdr:from>
    <xdr:to>
      <xdr:col>9</xdr:col>
      <xdr:colOff>504825</xdr:colOff>
      <xdr:row>1062</xdr:row>
      <xdr:rowOff>0</xdr:rowOff>
    </xdr:to>
    <xdr:pic>
      <xdr:nvPicPr>
        <xdr:cNvPr id="6546" name="Picture 97" descr="DCC"/>
        <xdr:cNvPicPr>
          <a:picLocks noChangeAspect="1" noChangeArrowheads="1"/>
        </xdr:cNvPicPr>
      </xdr:nvPicPr>
      <xdr:blipFill>
        <a:blip xmlns:r="http://schemas.openxmlformats.org/officeDocument/2006/relationships" r:embed="rId9"/>
        <a:srcRect/>
        <a:stretch>
          <a:fillRect/>
        </a:stretch>
      </xdr:blipFill>
      <xdr:spPr bwMode="auto">
        <a:xfrm>
          <a:off x="4733925" y="171811950"/>
          <a:ext cx="1209675" cy="0"/>
        </a:xfrm>
        <a:prstGeom prst="rect">
          <a:avLst/>
        </a:prstGeom>
        <a:noFill/>
        <a:ln w="9525">
          <a:noFill/>
          <a:miter lim="800000"/>
          <a:headEnd/>
          <a:tailEnd/>
        </a:ln>
      </xdr:spPr>
    </xdr:pic>
    <xdr:clientData/>
  </xdr:twoCellAnchor>
  <xdr:twoCellAnchor>
    <xdr:from>
      <xdr:col>0</xdr:col>
      <xdr:colOff>180975</xdr:colOff>
      <xdr:row>1115</xdr:row>
      <xdr:rowOff>57150</xdr:rowOff>
    </xdr:from>
    <xdr:to>
      <xdr:col>1</xdr:col>
      <xdr:colOff>361950</xdr:colOff>
      <xdr:row>1119</xdr:row>
      <xdr:rowOff>133350</xdr:rowOff>
    </xdr:to>
    <xdr:pic>
      <xdr:nvPicPr>
        <xdr:cNvPr id="6547" name="Picture 98" descr="statesealBlue"/>
        <xdr:cNvPicPr>
          <a:picLocks noChangeAspect="1" noChangeArrowheads="1"/>
        </xdr:cNvPicPr>
      </xdr:nvPicPr>
      <xdr:blipFill>
        <a:blip xmlns:r="http://schemas.openxmlformats.org/officeDocument/2006/relationships" r:embed="rId4" cstate="print"/>
        <a:srcRect/>
        <a:stretch>
          <a:fillRect/>
        </a:stretch>
      </xdr:blipFill>
      <xdr:spPr bwMode="auto">
        <a:xfrm>
          <a:off x="180975" y="180613050"/>
          <a:ext cx="771525" cy="723900"/>
        </a:xfrm>
        <a:prstGeom prst="rect">
          <a:avLst/>
        </a:prstGeom>
        <a:noFill/>
        <a:ln w="9525">
          <a:noFill/>
          <a:miter lim="800000"/>
          <a:headEnd/>
          <a:tailEnd/>
        </a:ln>
      </xdr:spPr>
    </xdr:pic>
    <xdr:clientData/>
  </xdr:twoCellAnchor>
  <xdr:twoCellAnchor>
    <xdr:from>
      <xdr:col>0</xdr:col>
      <xdr:colOff>180975</xdr:colOff>
      <xdr:row>1170</xdr:row>
      <xdr:rowOff>47625</xdr:rowOff>
    </xdr:from>
    <xdr:to>
      <xdr:col>1</xdr:col>
      <xdr:colOff>371475</xdr:colOff>
      <xdr:row>1174</xdr:row>
      <xdr:rowOff>114300</xdr:rowOff>
    </xdr:to>
    <xdr:pic>
      <xdr:nvPicPr>
        <xdr:cNvPr id="6549" name="Picture 100" descr="statesealBlue"/>
        <xdr:cNvPicPr>
          <a:picLocks noChangeAspect="1" noChangeArrowheads="1"/>
        </xdr:cNvPicPr>
      </xdr:nvPicPr>
      <xdr:blipFill>
        <a:blip xmlns:r="http://schemas.openxmlformats.org/officeDocument/2006/relationships" r:embed="rId5" cstate="print"/>
        <a:srcRect/>
        <a:stretch>
          <a:fillRect/>
        </a:stretch>
      </xdr:blipFill>
      <xdr:spPr bwMode="auto">
        <a:xfrm>
          <a:off x="180975" y="189509400"/>
          <a:ext cx="781050" cy="714375"/>
        </a:xfrm>
        <a:prstGeom prst="rect">
          <a:avLst/>
        </a:prstGeom>
        <a:noFill/>
        <a:ln w="9525">
          <a:noFill/>
          <a:miter lim="800000"/>
          <a:headEnd/>
          <a:tailEnd/>
        </a:ln>
      </xdr:spPr>
    </xdr:pic>
    <xdr:clientData/>
  </xdr:twoCellAnchor>
  <xdr:twoCellAnchor>
    <xdr:from>
      <xdr:col>0</xdr:col>
      <xdr:colOff>180975</xdr:colOff>
      <xdr:row>1223</xdr:row>
      <xdr:rowOff>47625</xdr:rowOff>
    </xdr:from>
    <xdr:to>
      <xdr:col>1</xdr:col>
      <xdr:colOff>361950</xdr:colOff>
      <xdr:row>1227</xdr:row>
      <xdr:rowOff>114300</xdr:rowOff>
    </xdr:to>
    <xdr:pic>
      <xdr:nvPicPr>
        <xdr:cNvPr id="6551" name="Picture 102"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198091425"/>
          <a:ext cx="771525" cy="714375"/>
        </a:xfrm>
        <a:prstGeom prst="rect">
          <a:avLst/>
        </a:prstGeom>
        <a:noFill/>
        <a:ln w="9525">
          <a:noFill/>
          <a:miter lim="800000"/>
          <a:headEnd/>
          <a:tailEnd/>
        </a:ln>
      </xdr:spPr>
    </xdr:pic>
    <xdr:clientData/>
  </xdr:twoCellAnchor>
  <xdr:twoCellAnchor>
    <xdr:from>
      <xdr:col>0</xdr:col>
      <xdr:colOff>180975</xdr:colOff>
      <xdr:row>1276</xdr:row>
      <xdr:rowOff>47625</xdr:rowOff>
    </xdr:from>
    <xdr:to>
      <xdr:col>1</xdr:col>
      <xdr:colOff>361950</xdr:colOff>
      <xdr:row>1280</xdr:row>
      <xdr:rowOff>123825</xdr:rowOff>
    </xdr:to>
    <xdr:pic>
      <xdr:nvPicPr>
        <xdr:cNvPr id="6553" name="Picture 110" descr="statesealBlue"/>
        <xdr:cNvPicPr>
          <a:picLocks noChangeAspect="1" noChangeArrowheads="1"/>
        </xdr:cNvPicPr>
      </xdr:nvPicPr>
      <xdr:blipFill>
        <a:blip xmlns:r="http://schemas.openxmlformats.org/officeDocument/2006/relationships" r:embed="rId4" cstate="print"/>
        <a:srcRect/>
        <a:stretch>
          <a:fillRect/>
        </a:stretch>
      </xdr:blipFill>
      <xdr:spPr bwMode="auto">
        <a:xfrm>
          <a:off x="180975" y="206673450"/>
          <a:ext cx="771525" cy="723900"/>
        </a:xfrm>
        <a:prstGeom prst="rect">
          <a:avLst/>
        </a:prstGeom>
        <a:noFill/>
        <a:ln w="9525">
          <a:noFill/>
          <a:miter lim="800000"/>
          <a:headEnd/>
          <a:tailEnd/>
        </a:ln>
      </xdr:spPr>
    </xdr:pic>
    <xdr:clientData/>
  </xdr:twoCellAnchor>
  <xdr:twoCellAnchor>
    <xdr:from>
      <xdr:col>0</xdr:col>
      <xdr:colOff>180975</xdr:colOff>
      <xdr:row>1329</xdr:row>
      <xdr:rowOff>47625</xdr:rowOff>
    </xdr:from>
    <xdr:to>
      <xdr:col>1</xdr:col>
      <xdr:colOff>361950</xdr:colOff>
      <xdr:row>1333</xdr:row>
      <xdr:rowOff>114300</xdr:rowOff>
    </xdr:to>
    <xdr:pic>
      <xdr:nvPicPr>
        <xdr:cNvPr id="6555" name="Picture 112"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215255475"/>
          <a:ext cx="771525" cy="714375"/>
        </a:xfrm>
        <a:prstGeom prst="rect">
          <a:avLst/>
        </a:prstGeom>
        <a:noFill/>
        <a:ln w="9525">
          <a:noFill/>
          <a:miter lim="800000"/>
          <a:headEnd/>
          <a:tailEnd/>
        </a:ln>
      </xdr:spPr>
    </xdr:pic>
    <xdr:clientData/>
  </xdr:twoCellAnchor>
  <xdr:twoCellAnchor>
    <xdr:from>
      <xdr:col>0</xdr:col>
      <xdr:colOff>209550</xdr:colOff>
      <xdr:row>210</xdr:row>
      <xdr:rowOff>19050</xdr:rowOff>
    </xdr:from>
    <xdr:to>
      <xdr:col>1</xdr:col>
      <xdr:colOff>400050</xdr:colOff>
      <xdr:row>214</xdr:row>
      <xdr:rowOff>133350</xdr:rowOff>
    </xdr:to>
    <xdr:pic>
      <xdr:nvPicPr>
        <xdr:cNvPr id="6557" name="Picture 118"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09550" y="34166175"/>
          <a:ext cx="781050" cy="762000"/>
        </a:xfrm>
        <a:prstGeom prst="rect">
          <a:avLst/>
        </a:prstGeom>
        <a:noFill/>
        <a:ln w="9525">
          <a:noFill/>
          <a:miter lim="800000"/>
          <a:headEnd/>
          <a:tailEnd/>
        </a:ln>
      </xdr:spPr>
    </xdr:pic>
    <xdr:clientData/>
  </xdr:twoCellAnchor>
  <xdr:twoCellAnchor>
    <xdr:from>
      <xdr:col>0</xdr:col>
      <xdr:colOff>209550</xdr:colOff>
      <xdr:row>53</xdr:row>
      <xdr:rowOff>19050</xdr:rowOff>
    </xdr:from>
    <xdr:to>
      <xdr:col>1</xdr:col>
      <xdr:colOff>400050</xdr:colOff>
      <xdr:row>57</xdr:row>
      <xdr:rowOff>133350</xdr:rowOff>
    </xdr:to>
    <xdr:pic>
      <xdr:nvPicPr>
        <xdr:cNvPr id="6561" name="Picture 148"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09550" y="8753475"/>
          <a:ext cx="781050" cy="762000"/>
        </a:xfrm>
        <a:prstGeom prst="rect">
          <a:avLst/>
        </a:prstGeom>
        <a:noFill/>
        <a:ln w="9525">
          <a:noFill/>
          <a:miter lim="800000"/>
          <a:headEnd/>
          <a:tailEnd/>
        </a:ln>
      </xdr:spPr>
    </xdr:pic>
    <xdr:clientData/>
  </xdr:twoCellAnchor>
  <xdr:twoCellAnchor>
    <xdr:from>
      <xdr:col>0</xdr:col>
      <xdr:colOff>180975</xdr:colOff>
      <xdr:row>1381</xdr:row>
      <xdr:rowOff>38100</xdr:rowOff>
    </xdr:from>
    <xdr:to>
      <xdr:col>1</xdr:col>
      <xdr:colOff>361950</xdr:colOff>
      <xdr:row>1385</xdr:row>
      <xdr:rowOff>152400</xdr:rowOff>
    </xdr:to>
    <xdr:pic>
      <xdr:nvPicPr>
        <xdr:cNvPr id="6563" name="Picture 216" descr="statesealBlue"/>
        <xdr:cNvPicPr>
          <a:picLocks noChangeAspect="1" noChangeArrowheads="1"/>
        </xdr:cNvPicPr>
      </xdr:nvPicPr>
      <xdr:blipFill>
        <a:blip xmlns:r="http://schemas.openxmlformats.org/officeDocument/2006/relationships" r:embed="rId2" cstate="print"/>
        <a:srcRect/>
        <a:stretch>
          <a:fillRect/>
        </a:stretch>
      </xdr:blipFill>
      <xdr:spPr bwMode="auto">
        <a:xfrm>
          <a:off x="180975" y="223666050"/>
          <a:ext cx="771525" cy="762000"/>
        </a:xfrm>
        <a:prstGeom prst="rect">
          <a:avLst/>
        </a:prstGeom>
        <a:noFill/>
        <a:ln w="9525">
          <a:noFill/>
          <a:miter lim="800000"/>
          <a:headEnd/>
          <a:tailEnd/>
        </a:ln>
      </xdr:spPr>
    </xdr:pic>
    <xdr:clientData/>
  </xdr:twoCellAnchor>
  <xdr:twoCellAnchor>
    <xdr:from>
      <xdr:col>0</xdr:col>
      <xdr:colOff>209550</xdr:colOff>
      <xdr:row>157</xdr:row>
      <xdr:rowOff>19050</xdr:rowOff>
    </xdr:from>
    <xdr:to>
      <xdr:col>1</xdr:col>
      <xdr:colOff>400050</xdr:colOff>
      <xdr:row>161</xdr:row>
      <xdr:rowOff>142875</xdr:rowOff>
    </xdr:to>
    <xdr:pic>
      <xdr:nvPicPr>
        <xdr:cNvPr id="6601" name="Picture 118" descr="statesealBlue"/>
        <xdr:cNvPicPr>
          <a:picLocks noChangeAspect="1" noChangeArrowheads="1"/>
        </xdr:cNvPicPr>
      </xdr:nvPicPr>
      <xdr:blipFill>
        <a:blip xmlns:r="http://schemas.openxmlformats.org/officeDocument/2006/relationships" r:embed="rId10" cstate="print"/>
        <a:srcRect/>
        <a:stretch>
          <a:fillRect/>
        </a:stretch>
      </xdr:blipFill>
      <xdr:spPr bwMode="auto">
        <a:xfrm>
          <a:off x="209550" y="25450800"/>
          <a:ext cx="781050" cy="771525"/>
        </a:xfrm>
        <a:prstGeom prst="rect">
          <a:avLst/>
        </a:prstGeom>
        <a:noFill/>
        <a:ln w="9525">
          <a:noFill/>
          <a:miter lim="800000"/>
          <a:headEnd/>
          <a:tailEnd/>
        </a:ln>
      </xdr:spPr>
    </xdr:pic>
    <xdr:clientData/>
  </xdr:twoCellAnchor>
  <xdr:twoCellAnchor>
    <xdr:from>
      <xdr:col>0</xdr:col>
      <xdr:colOff>180975</xdr:colOff>
      <xdr:row>1062</xdr:row>
      <xdr:rowOff>47625</xdr:rowOff>
    </xdr:from>
    <xdr:to>
      <xdr:col>1</xdr:col>
      <xdr:colOff>361950</xdr:colOff>
      <xdr:row>1066</xdr:row>
      <xdr:rowOff>114300</xdr:rowOff>
    </xdr:to>
    <xdr:pic>
      <xdr:nvPicPr>
        <xdr:cNvPr id="6626" name="Picture 80" descr="statesealBlue"/>
        <xdr:cNvPicPr>
          <a:picLocks noChangeAspect="1" noChangeArrowheads="1"/>
        </xdr:cNvPicPr>
      </xdr:nvPicPr>
      <xdr:blipFill>
        <a:blip xmlns:r="http://schemas.openxmlformats.org/officeDocument/2006/relationships" r:embed="rId3" cstate="print"/>
        <a:srcRect/>
        <a:stretch>
          <a:fillRect/>
        </a:stretch>
      </xdr:blipFill>
      <xdr:spPr bwMode="auto">
        <a:xfrm>
          <a:off x="180975" y="171859575"/>
          <a:ext cx="771525" cy="714375"/>
        </a:xfrm>
        <a:prstGeom prst="rect">
          <a:avLst/>
        </a:prstGeom>
        <a:noFill/>
        <a:ln w="9525">
          <a:noFill/>
          <a:miter lim="800000"/>
          <a:headEnd/>
          <a:tailEnd/>
        </a:ln>
      </xdr:spPr>
    </xdr:pic>
    <xdr:clientData/>
  </xdr:twoCellAnchor>
  <xdr:twoCellAnchor>
    <xdr:from>
      <xdr:col>5</xdr:col>
      <xdr:colOff>9525</xdr:colOff>
      <xdr:row>2</xdr:row>
      <xdr:rowOff>19050</xdr:rowOff>
    </xdr:from>
    <xdr:to>
      <xdr:col>9</xdr:col>
      <xdr:colOff>352425</xdr:colOff>
      <xdr:row>5</xdr:row>
      <xdr:rowOff>9525</xdr:rowOff>
    </xdr:to>
    <xdr:pic>
      <xdr:nvPicPr>
        <xdr:cNvPr id="1027" name="Picture 3"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2990850" y="342900"/>
          <a:ext cx="2800350" cy="476250"/>
        </a:xfrm>
        <a:prstGeom prst="rect">
          <a:avLst/>
        </a:prstGeom>
        <a:noFill/>
        <a:ln w="9525">
          <a:noFill/>
          <a:miter lim="800000"/>
          <a:headEnd/>
          <a:tailEnd/>
        </a:ln>
      </xdr:spPr>
    </xdr:pic>
    <xdr:clientData/>
  </xdr:twoCellAnchor>
  <xdr:twoCellAnchor>
    <xdr:from>
      <xdr:col>7</xdr:col>
      <xdr:colOff>314325</xdr:colOff>
      <xdr:row>108</xdr:row>
      <xdr:rowOff>95250</xdr:rowOff>
    </xdr:from>
    <xdr:to>
      <xdr:col>9</xdr:col>
      <xdr:colOff>533400</xdr:colOff>
      <xdr:row>110</xdr:row>
      <xdr:rowOff>38100</xdr:rowOff>
    </xdr:to>
    <xdr:pic>
      <xdr:nvPicPr>
        <xdr:cNvPr id="1028"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7754600"/>
          <a:ext cx="1428750" cy="266700"/>
        </a:xfrm>
        <a:prstGeom prst="rect">
          <a:avLst/>
        </a:prstGeom>
        <a:noFill/>
        <a:ln w="9525">
          <a:noFill/>
          <a:miter lim="800000"/>
          <a:headEnd/>
          <a:tailEnd/>
        </a:ln>
      </xdr:spPr>
    </xdr:pic>
    <xdr:clientData/>
  </xdr:twoCellAnchor>
  <xdr:twoCellAnchor>
    <xdr:from>
      <xdr:col>7</xdr:col>
      <xdr:colOff>314325</xdr:colOff>
      <xdr:row>158</xdr:row>
      <xdr:rowOff>95250</xdr:rowOff>
    </xdr:from>
    <xdr:to>
      <xdr:col>9</xdr:col>
      <xdr:colOff>533400</xdr:colOff>
      <xdr:row>160</xdr:row>
      <xdr:rowOff>38100</xdr:rowOff>
    </xdr:to>
    <xdr:pic>
      <xdr:nvPicPr>
        <xdr:cNvPr id="63"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25688925"/>
          <a:ext cx="1428750" cy="266700"/>
        </a:xfrm>
        <a:prstGeom prst="rect">
          <a:avLst/>
        </a:prstGeom>
        <a:noFill/>
        <a:ln w="9525">
          <a:noFill/>
          <a:miter lim="800000"/>
          <a:headEnd/>
          <a:tailEnd/>
        </a:ln>
      </xdr:spPr>
    </xdr:pic>
    <xdr:clientData/>
  </xdr:twoCellAnchor>
  <xdr:twoCellAnchor>
    <xdr:from>
      <xdr:col>7</xdr:col>
      <xdr:colOff>314325</xdr:colOff>
      <xdr:row>211</xdr:row>
      <xdr:rowOff>104775</xdr:rowOff>
    </xdr:from>
    <xdr:to>
      <xdr:col>9</xdr:col>
      <xdr:colOff>533400</xdr:colOff>
      <xdr:row>213</xdr:row>
      <xdr:rowOff>47625</xdr:rowOff>
    </xdr:to>
    <xdr:pic>
      <xdr:nvPicPr>
        <xdr:cNvPr id="64"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34413825"/>
          <a:ext cx="1428750" cy="266700"/>
        </a:xfrm>
        <a:prstGeom prst="rect">
          <a:avLst/>
        </a:prstGeom>
        <a:noFill/>
        <a:ln w="9525">
          <a:noFill/>
          <a:miter lim="800000"/>
          <a:headEnd/>
          <a:tailEnd/>
        </a:ln>
      </xdr:spPr>
    </xdr:pic>
    <xdr:clientData/>
  </xdr:twoCellAnchor>
  <xdr:twoCellAnchor>
    <xdr:from>
      <xdr:col>7</xdr:col>
      <xdr:colOff>323850</xdr:colOff>
      <xdr:row>265</xdr:row>
      <xdr:rowOff>114300</xdr:rowOff>
    </xdr:from>
    <xdr:to>
      <xdr:col>9</xdr:col>
      <xdr:colOff>542925</xdr:colOff>
      <xdr:row>267</xdr:row>
      <xdr:rowOff>57150</xdr:rowOff>
    </xdr:to>
    <xdr:pic>
      <xdr:nvPicPr>
        <xdr:cNvPr id="65"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43167300"/>
          <a:ext cx="1428750" cy="266700"/>
        </a:xfrm>
        <a:prstGeom prst="rect">
          <a:avLst/>
        </a:prstGeom>
        <a:noFill/>
        <a:ln w="9525">
          <a:noFill/>
          <a:miter lim="800000"/>
          <a:headEnd/>
          <a:tailEnd/>
        </a:ln>
      </xdr:spPr>
    </xdr:pic>
    <xdr:clientData/>
  </xdr:twoCellAnchor>
  <xdr:twoCellAnchor>
    <xdr:from>
      <xdr:col>7</xdr:col>
      <xdr:colOff>323850</xdr:colOff>
      <xdr:row>319</xdr:row>
      <xdr:rowOff>114300</xdr:rowOff>
    </xdr:from>
    <xdr:to>
      <xdr:col>9</xdr:col>
      <xdr:colOff>542925</xdr:colOff>
      <xdr:row>321</xdr:row>
      <xdr:rowOff>57150</xdr:rowOff>
    </xdr:to>
    <xdr:pic>
      <xdr:nvPicPr>
        <xdr:cNvPr id="66"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51911250"/>
          <a:ext cx="1428750" cy="266700"/>
        </a:xfrm>
        <a:prstGeom prst="rect">
          <a:avLst/>
        </a:prstGeom>
        <a:noFill/>
        <a:ln w="9525">
          <a:noFill/>
          <a:miter lim="800000"/>
          <a:headEnd/>
          <a:tailEnd/>
        </a:ln>
      </xdr:spPr>
    </xdr:pic>
    <xdr:clientData/>
  </xdr:twoCellAnchor>
  <xdr:twoCellAnchor>
    <xdr:from>
      <xdr:col>7</xdr:col>
      <xdr:colOff>314325</xdr:colOff>
      <xdr:row>373</xdr:row>
      <xdr:rowOff>114300</xdr:rowOff>
    </xdr:from>
    <xdr:to>
      <xdr:col>9</xdr:col>
      <xdr:colOff>533400</xdr:colOff>
      <xdr:row>375</xdr:row>
      <xdr:rowOff>57150</xdr:rowOff>
    </xdr:to>
    <xdr:pic>
      <xdr:nvPicPr>
        <xdr:cNvPr id="67"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60693300"/>
          <a:ext cx="1428750" cy="266700"/>
        </a:xfrm>
        <a:prstGeom prst="rect">
          <a:avLst/>
        </a:prstGeom>
        <a:noFill/>
        <a:ln w="9525">
          <a:noFill/>
          <a:miter lim="800000"/>
          <a:headEnd/>
          <a:tailEnd/>
        </a:ln>
      </xdr:spPr>
    </xdr:pic>
    <xdr:clientData/>
  </xdr:twoCellAnchor>
  <xdr:twoCellAnchor>
    <xdr:from>
      <xdr:col>7</xdr:col>
      <xdr:colOff>323850</xdr:colOff>
      <xdr:row>427</xdr:row>
      <xdr:rowOff>114300</xdr:rowOff>
    </xdr:from>
    <xdr:to>
      <xdr:col>9</xdr:col>
      <xdr:colOff>542925</xdr:colOff>
      <xdr:row>429</xdr:row>
      <xdr:rowOff>57150</xdr:rowOff>
    </xdr:to>
    <xdr:pic>
      <xdr:nvPicPr>
        <xdr:cNvPr id="68"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69484875"/>
          <a:ext cx="1428750" cy="266700"/>
        </a:xfrm>
        <a:prstGeom prst="rect">
          <a:avLst/>
        </a:prstGeom>
        <a:noFill/>
        <a:ln w="9525">
          <a:noFill/>
          <a:miter lim="800000"/>
          <a:headEnd/>
          <a:tailEnd/>
        </a:ln>
      </xdr:spPr>
    </xdr:pic>
    <xdr:clientData/>
  </xdr:twoCellAnchor>
  <xdr:twoCellAnchor>
    <xdr:from>
      <xdr:col>7</xdr:col>
      <xdr:colOff>314325</xdr:colOff>
      <xdr:row>481</xdr:row>
      <xdr:rowOff>104775</xdr:rowOff>
    </xdr:from>
    <xdr:to>
      <xdr:col>9</xdr:col>
      <xdr:colOff>533400</xdr:colOff>
      <xdr:row>483</xdr:row>
      <xdr:rowOff>47625</xdr:rowOff>
    </xdr:to>
    <xdr:pic>
      <xdr:nvPicPr>
        <xdr:cNvPr id="69"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78076425"/>
          <a:ext cx="1428750" cy="266700"/>
        </a:xfrm>
        <a:prstGeom prst="rect">
          <a:avLst/>
        </a:prstGeom>
        <a:noFill/>
        <a:ln w="9525">
          <a:noFill/>
          <a:miter lim="800000"/>
          <a:headEnd/>
          <a:tailEnd/>
        </a:ln>
      </xdr:spPr>
    </xdr:pic>
    <xdr:clientData/>
  </xdr:twoCellAnchor>
  <xdr:twoCellAnchor>
    <xdr:from>
      <xdr:col>7</xdr:col>
      <xdr:colOff>304800</xdr:colOff>
      <xdr:row>534</xdr:row>
      <xdr:rowOff>104775</xdr:rowOff>
    </xdr:from>
    <xdr:to>
      <xdr:col>9</xdr:col>
      <xdr:colOff>523875</xdr:colOff>
      <xdr:row>536</xdr:row>
      <xdr:rowOff>47625</xdr:rowOff>
    </xdr:to>
    <xdr:pic>
      <xdr:nvPicPr>
        <xdr:cNvPr id="70"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33900" y="86829900"/>
          <a:ext cx="1428750" cy="266700"/>
        </a:xfrm>
        <a:prstGeom prst="rect">
          <a:avLst/>
        </a:prstGeom>
        <a:noFill/>
        <a:ln w="9525">
          <a:noFill/>
          <a:miter lim="800000"/>
          <a:headEnd/>
          <a:tailEnd/>
        </a:ln>
      </xdr:spPr>
    </xdr:pic>
    <xdr:clientData/>
  </xdr:twoCellAnchor>
  <xdr:twoCellAnchor>
    <xdr:from>
      <xdr:col>7</xdr:col>
      <xdr:colOff>314325</xdr:colOff>
      <xdr:row>587</xdr:row>
      <xdr:rowOff>104775</xdr:rowOff>
    </xdr:from>
    <xdr:to>
      <xdr:col>9</xdr:col>
      <xdr:colOff>533400</xdr:colOff>
      <xdr:row>589</xdr:row>
      <xdr:rowOff>47625</xdr:rowOff>
    </xdr:to>
    <xdr:pic>
      <xdr:nvPicPr>
        <xdr:cNvPr id="71"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95411925"/>
          <a:ext cx="1428750" cy="266700"/>
        </a:xfrm>
        <a:prstGeom prst="rect">
          <a:avLst/>
        </a:prstGeom>
        <a:noFill/>
        <a:ln w="9525">
          <a:noFill/>
          <a:miter lim="800000"/>
          <a:headEnd/>
          <a:tailEnd/>
        </a:ln>
      </xdr:spPr>
    </xdr:pic>
    <xdr:clientData/>
  </xdr:twoCellAnchor>
  <xdr:twoCellAnchor>
    <xdr:from>
      <xdr:col>7</xdr:col>
      <xdr:colOff>314325</xdr:colOff>
      <xdr:row>641</xdr:row>
      <xdr:rowOff>114300</xdr:rowOff>
    </xdr:from>
    <xdr:to>
      <xdr:col>9</xdr:col>
      <xdr:colOff>533400</xdr:colOff>
      <xdr:row>643</xdr:row>
      <xdr:rowOff>57150</xdr:rowOff>
    </xdr:to>
    <xdr:pic>
      <xdr:nvPicPr>
        <xdr:cNvPr id="72"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04165400"/>
          <a:ext cx="1428750" cy="266700"/>
        </a:xfrm>
        <a:prstGeom prst="rect">
          <a:avLst/>
        </a:prstGeom>
        <a:noFill/>
        <a:ln w="9525">
          <a:noFill/>
          <a:miter lim="800000"/>
          <a:headEnd/>
          <a:tailEnd/>
        </a:ln>
      </xdr:spPr>
    </xdr:pic>
    <xdr:clientData/>
  </xdr:twoCellAnchor>
  <xdr:twoCellAnchor>
    <xdr:from>
      <xdr:col>7</xdr:col>
      <xdr:colOff>314325</xdr:colOff>
      <xdr:row>692</xdr:row>
      <xdr:rowOff>104775</xdr:rowOff>
    </xdr:from>
    <xdr:to>
      <xdr:col>9</xdr:col>
      <xdr:colOff>533400</xdr:colOff>
      <xdr:row>694</xdr:row>
      <xdr:rowOff>47625</xdr:rowOff>
    </xdr:to>
    <xdr:pic>
      <xdr:nvPicPr>
        <xdr:cNvPr id="73"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12414050"/>
          <a:ext cx="1428750" cy="266700"/>
        </a:xfrm>
        <a:prstGeom prst="rect">
          <a:avLst/>
        </a:prstGeom>
        <a:noFill/>
        <a:ln w="9525">
          <a:noFill/>
          <a:miter lim="800000"/>
          <a:headEnd/>
          <a:tailEnd/>
        </a:ln>
      </xdr:spPr>
    </xdr:pic>
    <xdr:clientData/>
  </xdr:twoCellAnchor>
  <xdr:twoCellAnchor>
    <xdr:from>
      <xdr:col>7</xdr:col>
      <xdr:colOff>314325</xdr:colOff>
      <xdr:row>744</xdr:row>
      <xdr:rowOff>114300</xdr:rowOff>
    </xdr:from>
    <xdr:to>
      <xdr:col>9</xdr:col>
      <xdr:colOff>533400</xdr:colOff>
      <xdr:row>746</xdr:row>
      <xdr:rowOff>57150</xdr:rowOff>
    </xdr:to>
    <xdr:pic>
      <xdr:nvPicPr>
        <xdr:cNvPr id="74"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20843675"/>
          <a:ext cx="1428750" cy="266700"/>
        </a:xfrm>
        <a:prstGeom prst="rect">
          <a:avLst/>
        </a:prstGeom>
        <a:noFill/>
        <a:ln w="9525">
          <a:noFill/>
          <a:miter lim="800000"/>
          <a:headEnd/>
          <a:tailEnd/>
        </a:ln>
      </xdr:spPr>
    </xdr:pic>
    <xdr:clientData/>
  </xdr:twoCellAnchor>
  <xdr:twoCellAnchor>
    <xdr:from>
      <xdr:col>7</xdr:col>
      <xdr:colOff>314325</xdr:colOff>
      <xdr:row>798</xdr:row>
      <xdr:rowOff>104775</xdr:rowOff>
    </xdr:from>
    <xdr:to>
      <xdr:col>9</xdr:col>
      <xdr:colOff>533400</xdr:colOff>
      <xdr:row>800</xdr:row>
      <xdr:rowOff>47625</xdr:rowOff>
    </xdr:to>
    <xdr:pic>
      <xdr:nvPicPr>
        <xdr:cNvPr id="75"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29578100"/>
          <a:ext cx="1428750" cy="266700"/>
        </a:xfrm>
        <a:prstGeom prst="rect">
          <a:avLst/>
        </a:prstGeom>
        <a:noFill/>
        <a:ln w="9525">
          <a:noFill/>
          <a:miter lim="800000"/>
          <a:headEnd/>
          <a:tailEnd/>
        </a:ln>
      </xdr:spPr>
    </xdr:pic>
    <xdr:clientData/>
  </xdr:twoCellAnchor>
  <xdr:twoCellAnchor>
    <xdr:from>
      <xdr:col>7</xdr:col>
      <xdr:colOff>314325</xdr:colOff>
      <xdr:row>847</xdr:row>
      <xdr:rowOff>104775</xdr:rowOff>
    </xdr:from>
    <xdr:to>
      <xdr:col>9</xdr:col>
      <xdr:colOff>533400</xdr:colOff>
      <xdr:row>849</xdr:row>
      <xdr:rowOff>47625</xdr:rowOff>
    </xdr:to>
    <xdr:pic>
      <xdr:nvPicPr>
        <xdr:cNvPr id="76"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37512425"/>
          <a:ext cx="1428750" cy="266700"/>
        </a:xfrm>
        <a:prstGeom prst="rect">
          <a:avLst/>
        </a:prstGeom>
        <a:noFill/>
        <a:ln w="9525">
          <a:noFill/>
          <a:miter lim="800000"/>
          <a:headEnd/>
          <a:tailEnd/>
        </a:ln>
      </xdr:spPr>
    </xdr:pic>
    <xdr:clientData/>
  </xdr:twoCellAnchor>
  <xdr:twoCellAnchor>
    <xdr:from>
      <xdr:col>7</xdr:col>
      <xdr:colOff>314325</xdr:colOff>
      <xdr:row>900</xdr:row>
      <xdr:rowOff>104775</xdr:rowOff>
    </xdr:from>
    <xdr:to>
      <xdr:col>9</xdr:col>
      <xdr:colOff>533400</xdr:colOff>
      <xdr:row>902</xdr:row>
      <xdr:rowOff>47625</xdr:rowOff>
    </xdr:to>
    <xdr:pic>
      <xdr:nvPicPr>
        <xdr:cNvPr id="77"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46094450"/>
          <a:ext cx="1428750" cy="266700"/>
        </a:xfrm>
        <a:prstGeom prst="rect">
          <a:avLst/>
        </a:prstGeom>
        <a:noFill/>
        <a:ln w="9525">
          <a:noFill/>
          <a:miter lim="800000"/>
          <a:headEnd/>
          <a:tailEnd/>
        </a:ln>
      </xdr:spPr>
    </xdr:pic>
    <xdr:clientData/>
  </xdr:twoCellAnchor>
  <xdr:twoCellAnchor>
    <xdr:from>
      <xdr:col>7</xdr:col>
      <xdr:colOff>314325</xdr:colOff>
      <xdr:row>953</xdr:row>
      <xdr:rowOff>104775</xdr:rowOff>
    </xdr:from>
    <xdr:to>
      <xdr:col>9</xdr:col>
      <xdr:colOff>533400</xdr:colOff>
      <xdr:row>955</xdr:row>
      <xdr:rowOff>47625</xdr:rowOff>
    </xdr:to>
    <xdr:pic>
      <xdr:nvPicPr>
        <xdr:cNvPr id="78"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54686000"/>
          <a:ext cx="1428750" cy="266700"/>
        </a:xfrm>
        <a:prstGeom prst="rect">
          <a:avLst/>
        </a:prstGeom>
        <a:noFill/>
        <a:ln w="9525">
          <a:noFill/>
          <a:miter lim="800000"/>
          <a:headEnd/>
          <a:tailEnd/>
        </a:ln>
      </xdr:spPr>
    </xdr:pic>
    <xdr:clientData/>
  </xdr:twoCellAnchor>
  <xdr:twoCellAnchor>
    <xdr:from>
      <xdr:col>7</xdr:col>
      <xdr:colOff>314325</xdr:colOff>
      <xdr:row>1008</xdr:row>
      <xdr:rowOff>114300</xdr:rowOff>
    </xdr:from>
    <xdr:to>
      <xdr:col>9</xdr:col>
      <xdr:colOff>533400</xdr:colOff>
      <xdr:row>1010</xdr:row>
      <xdr:rowOff>57150</xdr:rowOff>
    </xdr:to>
    <xdr:pic>
      <xdr:nvPicPr>
        <xdr:cNvPr id="79"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63344225"/>
          <a:ext cx="1428750" cy="266700"/>
        </a:xfrm>
        <a:prstGeom prst="rect">
          <a:avLst/>
        </a:prstGeom>
        <a:noFill/>
        <a:ln w="9525">
          <a:noFill/>
          <a:miter lim="800000"/>
          <a:headEnd/>
          <a:tailEnd/>
        </a:ln>
      </xdr:spPr>
    </xdr:pic>
    <xdr:clientData/>
  </xdr:twoCellAnchor>
  <xdr:twoCellAnchor>
    <xdr:from>
      <xdr:col>7</xdr:col>
      <xdr:colOff>323850</xdr:colOff>
      <xdr:row>1063</xdr:row>
      <xdr:rowOff>104775</xdr:rowOff>
    </xdr:from>
    <xdr:to>
      <xdr:col>9</xdr:col>
      <xdr:colOff>542925</xdr:colOff>
      <xdr:row>1065</xdr:row>
      <xdr:rowOff>47625</xdr:rowOff>
    </xdr:to>
    <xdr:pic>
      <xdr:nvPicPr>
        <xdr:cNvPr id="80"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172078650"/>
          <a:ext cx="1428750" cy="266700"/>
        </a:xfrm>
        <a:prstGeom prst="rect">
          <a:avLst/>
        </a:prstGeom>
        <a:noFill/>
        <a:ln w="9525">
          <a:noFill/>
          <a:miter lim="800000"/>
          <a:headEnd/>
          <a:tailEnd/>
        </a:ln>
      </xdr:spPr>
    </xdr:pic>
    <xdr:clientData/>
  </xdr:twoCellAnchor>
  <xdr:twoCellAnchor>
    <xdr:from>
      <xdr:col>7</xdr:col>
      <xdr:colOff>314325</xdr:colOff>
      <xdr:row>1116</xdr:row>
      <xdr:rowOff>104775</xdr:rowOff>
    </xdr:from>
    <xdr:to>
      <xdr:col>9</xdr:col>
      <xdr:colOff>533400</xdr:colOff>
      <xdr:row>1118</xdr:row>
      <xdr:rowOff>47625</xdr:rowOff>
    </xdr:to>
    <xdr:pic>
      <xdr:nvPicPr>
        <xdr:cNvPr id="81"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80822600"/>
          <a:ext cx="1428750" cy="266700"/>
        </a:xfrm>
        <a:prstGeom prst="rect">
          <a:avLst/>
        </a:prstGeom>
        <a:noFill/>
        <a:ln w="9525">
          <a:noFill/>
          <a:miter lim="800000"/>
          <a:headEnd/>
          <a:tailEnd/>
        </a:ln>
      </xdr:spPr>
    </xdr:pic>
    <xdr:clientData/>
  </xdr:twoCellAnchor>
  <xdr:twoCellAnchor>
    <xdr:from>
      <xdr:col>7</xdr:col>
      <xdr:colOff>314325</xdr:colOff>
      <xdr:row>1171</xdr:row>
      <xdr:rowOff>104775</xdr:rowOff>
    </xdr:from>
    <xdr:to>
      <xdr:col>9</xdr:col>
      <xdr:colOff>533400</xdr:colOff>
      <xdr:row>1173</xdr:row>
      <xdr:rowOff>47625</xdr:rowOff>
    </xdr:to>
    <xdr:pic>
      <xdr:nvPicPr>
        <xdr:cNvPr id="82"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89728475"/>
          <a:ext cx="1428750" cy="266700"/>
        </a:xfrm>
        <a:prstGeom prst="rect">
          <a:avLst/>
        </a:prstGeom>
        <a:noFill/>
        <a:ln w="9525">
          <a:noFill/>
          <a:miter lim="800000"/>
          <a:headEnd/>
          <a:tailEnd/>
        </a:ln>
      </xdr:spPr>
    </xdr:pic>
    <xdr:clientData/>
  </xdr:twoCellAnchor>
  <xdr:twoCellAnchor>
    <xdr:from>
      <xdr:col>7</xdr:col>
      <xdr:colOff>314325</xdr:colOff>
      <xdr:row>1224</xdr:row>
      <xdr:rowOff>104775</xdr:rowOff>
    </xdr:from>
    <xdr:to>
      <xdr:col>9</xdr:col>
      <xdr:colOff>533400</xdr:colOff>
      <xdr:row>1226</xdr:row>
      <xdr:rowOff>47625</xdr:rowOff>
    </xdr:to>
    <xdr:pic>
      <xdr:nvPicPr>
        <xdr:cNvPr id="83"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198310500"/>
          <a:ext cx="1428750" cy="266700"/>
        </a:xfrm>
        <a:prstGeom prst="rect">
          <a:avLst/>
        </a:prstGeom>
        <a:noFill/>
        <a:ln w="9525">
          <a:noFill/>
          <a:miter lim="800000"/>
          <a:headEnd/>
          <a:tailEnd/>
        </a:ln>
      </xdr:spPr>
    </xdr:pic>
    <xdr:clientData/>
  </xdr:twoCellAnchor>
  <xdr:twoCellAnchor>
    <xdr:from>
      <xdr:col>7</xdr:col>
      <xdr:colOff>314325</xdr:colOff>
      <xdr:row>1277</xdr:row>
      <xdr:rowOff>104775</xdr:rowOff>
    </xdr:from>
    <xdr:to>
      <xdr:col>9</xdr:col>
      <xdr:colOff>533400</xdr:colOff>
      <xdr:row>1279</xdr:row>
      <xdr:rowOff>47625</xdr:rowOff>
    </xdr:to>
    <xdr:pic>
      <xdr:nvPicPr>
        <xdr:cNvPr id="84"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206892525"/>
          <a:ext cx="1428750" cy="266700"/>
        </a:xfrm>
        <a:prstGeom prst="rect">
          <a:avLst/>
        </a:prstGeom>
        <a:noFill/>
        <a:ln w="9525">
          <a:noFill/>
          <a:miter lim="800000"/>
          <a:headEnd/>
          <a:tailEnd/>
        </a:ln>
      </xdr:spPr>
    </xdr:pic>
    <xdr:clientData/>
  </xdr:twoCellAnchor>
  <xdr:twoCellAnchor>
    <xdr:from>
      <xdr:col>7</xdr:col>
      <xdr:colOff>314325</xdr:colOff>
      <xdr:row>1330</xdr:row>
      <xdr:rowOff>104775</xdr:rowOff>
    </xdr:from>
    <xdr:to>
      <xdr:col>9</xdr:col>
      <xdr:colOff>533400</xdr:colOff>
      <xdr:row>1332</xdr:row>
      <xdr:rowOff>47625</xdr:rowOff>
    </xdr:to>
    <xdr:pic>
      <xdr:nvPicPr>
        <xdr:cNvPr id="85"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43425" y="215474550"/>
          <a:ext cx="1428750" cy="266700"/>
        </a:xfrm>
        <a:prstGeom prst="rect">
          <a:avLst/>
        </a:prstGeom>
        <a:noFill/>
        <a:ln w="9525">
          <a:noFill/>
          <a:miter lim="800000"/>
          <a:headEnd/>
          <a:tailEnd/>
        </a:ln>
      </xdr:spPr>
    </xdr:pic>
    <xdr:clientData/>
  </xdr:twoCellAnchor>
  <xdr:twoCellAnchor>
    <xdr:from>
      <xdr:col>7</xdr:col>
      <xdr:colOff>323850</xdr:colOff>
      <xdr:row>1382</xdr:row>
      <xdr:rowOff>104775</xdr:rowOff>
    </xdr:from>
    <xdr:to>
      <xdr:col>9</xdr:col>
      <xdr:colOff>542925</xdr:colOff>
      <xdr:row>1384</xdr:row>
      <xdr:rowOff>47625</xdr:rowOff>
    </xdr:to>
    <xdr:pic>
      <xdr:nvPicPr>
        <xdr:cNvPr id="86"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223894650"/>
          <a:ext cx="1428750" cy="266700"/>
        </a:xfrm>
        <a:prstGeom prst="rect">
          <a:avLst/>
        </a:prstGeom>
        <a:noFill/>
        <a:ln w="9525">
          <a:noFill/>
          <a:miter lim="800000"/>
          <a:headEnd/>
          <a:tailEnd/>
        </a:ln>
      </xdr:spPr>
    </xdr:pic>
    <xdr:clientData/>
  </xdr:twoCellAnchor>
  <xdr:twoCellAnchor>
    <xdr:from>
      <xdr:col>0</xdr:col>
      <xdr:colOff>104775</xdr:colOff>
      <xdr:row>46</xdr:row>
      <xdr:rowOff>66675</xdr:rowOff>
    </xdr:from>
    <xdr:to>
      <xdr:col>1</xdr:col>
      <xdr:colOff>438150</xdr:colOff>
      <xdr:row>52</xdr:row>
      <xdr:rowOff>38100</xdr:rowOff>
    </xdr:to>
    <xdr:pic>
      <xdr:nvPicPr>
        <xdr:cNvPr id="2" name="Picture 6" descr="Logo"/>
        <xdr:cNvPicPr>
          <a:picLocks noChangeAspect="1" noChangeArrowheads="1"/>
        </xdr:cNvPicPr>
      </xdr:nvPicPr>
      <xdr:blipFill>
        <a:blip xmlns:r="http://schemas.openxmlformats.org/officeDocument/2006/relationships" r:embed="rId12" cstate="print"/>
        <a:srcRect/>
        <a:stretch>
          <a:fillRect/>
        </a:stretch>
      </xdr:blipFill>
      <xdr:spPr bwMode="auto">
        <a:xfrm>
          <a:off x="104775" y="7667625"/>
          <a:ext cx="923925" cy="942975"/>
        </a:xfrm>
        <a:prstGeom prst="rect">
          <a:avLst/>
        </a:prstGeom>
        <a:noFill/>
        <a:ln w="9525">
          <a:noFill/>
          <a:miter lim="800000"/>
          <a:headEnd/>
          <a:tailEnd/>
        </a:ln>
      </xdr:spPr>
    </xdr:pic>
    <xdr:clientData/>
  </xdr:twoCellAnchor>
  <xdr:twoCellAnchor>
    <xdr:from>
      <xdr:col>7</xdr:col>
      <xdr:colOff>323850</xdr:colOff>
      <xdr:row>54</xdr:row>
      <xdr:rowOff>114300</xdr:rowOff>
    </xdr:from>
    <xdr:to>
      <xdr:col>9</xdr:col>
      <xdr:colOff>542925</xdr:colOff>
      <xdr:row>56</xdr:row>
      <xdr:rowOff>57150</xdr:rowOff>
    </xdr:to>
    <xdr:pic>
      <xdr:nvPicPr>
        <xdr:cNvPr id="89" name="Picture 4" descr="DWS logo"/>
        <xdr:cNvPicPr>
          <a:picLocks noChangeAspect="1" noChangeArrowheads="1"/>
        </xdr:cNvPicPr>
      </xdr:nvPicPr>
      <xdr:blipFill>
        <a:blip xmlns:r="http://schemas.openxmlformats.org/officeDocument/2006/relationships" r:embed="rId11" cstate="print"/>
        <a:srcRect/>
        <a:stretch>
          <a:fillRect/>
        </a:stretch>
      </xdr:blipFill>
      <xdr:spPr bwMode="auto">
        <a:xfrm>
          <a:off x="4552950" y="9010650"/>
          <a:ext cx="1428750"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209550</xdr:colOff>
      <xdr:row>4</xdr:row>
      <xdr:rowOff>104775</xdr:rowOff>
    </xdr:to>
    <xdr:pic>
      <xdr:nvPicPr>
        <xdr:cNvPr id="7257" name="Picture 78"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5"/>
          <a:ext cx="771525" cy="723900"/>
        </a:xfrm>
        <a:prstGeom prst="rect">
          <a:avLst/>
        </a:prstGeom>
        <a:noFill/>
        <a:ln w="9525">
          <a:noFill/>
          <a:miter lim="800000"/>
          <a:headEnd/>
          <a:tailEnd/>
        </a:ln>
      </xdr:spPr>
    </xdr:pic>
    <xdr:clientData/>
  </xdr:twoCellAnchor>
  <xdr:twoCellAnchor>
    <xdr:from>
      <xdr:col>0</xdr:col>
      <xdr:colOff>28575</xdr:colOff>
      <xdr:row>52</xdr:row>
      <xdr:rowOff>47625</xdr:rowOff>
    </xdr:from>
    <xdr:to>
      <xdr:col>1</xdr:col>
      <xdr:colOff>209550</xdr:colOff>
      <xdr:row>56</xdr:row>
      <xdr:rowOff>123825</xdr:rowOff>
    </xdr:to>
    <xdr:pic>
      <xdr:nvPicPr>
        <xdr:cNvPr id="7258" name="Picture 78"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28575" y="8724900"/>
          <a:ext cx="771525" cy="723900"/>
        </a:xfrm>
        <a:prstGeom prst="rect">
          <a:avLst/>
        </a:prstGeom>
        <a:noFill/>
        <a:ln w="9525">
          <a:noFill/>
          <a:miter lim="800000"/>
          <a:headEnd/>
          <a:tailEnd/>
        </a:ln>
      </xdr:spPr>
    </xdr:pic>
    <xdr:clientData/>
  </xdr:twoCellAnchor>
  <xdr:twoCellAnchor>
    <xdr:from>
      <xdr:col>7</xdr:col>
      <xdr:colOff>323850</xdr:colOff>
      <xdr:row>1</xdr:row>
      <xdr:rowOff>104775</xdr:rowOff>
    </xdr:from>
    <xdr:to>
      <xdr:col>9</xdr:col>
      <xdr:colOff>542925</xdr:colOff>
      <xdr:row>3</xdr:row>
      <xdr:rowOff>47625</xdr:rowOff>
    </xdr:to>
    <xdr:pic>
      <xdr:nvPicPr>
        <xdr:cNvPr id="9" name="Picture 1" descr="DWS logo"/>
        <xdr:cNvPicPr>
          <a:picLocks noChangeAspect="1" noChangeArrowheads="1"/>
        </xdr:cNvPicPr>
      </xdr:nvPicPr>
      <xdr:blipFill>
        <a:blip xmlns:r="http://schemas.openxmlformats.org/officeDocument/2006/relationships" r:embed="rId2" cstate="print"/>
        <a:srcRect/>
        <a:stretch>
          <a:fillRect/>
        </a:stretch>
      </xdr:blipFill>
      <xdr:spPr bwMode="auto">
        <a:xfrm>
          <a:off x="4457700" y="266700"/>
          <a:ext cx="1400175" cy="266700"/>
        </a:xfrm>
        <a:prstGeom prst="rect">
          <a:avLst/>
        </a:prstGeom>
        <a:noFill/>
        <a:ln w="9525">
          <a:noFill/>
          <a:miter lim="800000"/>
          <a:headEnd/>
          <a:tailEnd/>
        </a:ln>
      </xdr:spPr>
    </xdr:pic>
    <xdr:clientData/>
  </xdr:twoCellAnchor>
  <xdr:twoCellAnchor>
    <xdr:from>
      <xdr:col>7</xdr:col>
      <xdr:colOff>314325</xdr:colOff>
      <xdr:row>53</xdr:row>
      <xdr:rowOff>104775</xdr:rowOff>
    </xdr:from>
    <xdr:to>
      <xdr:col>9</xdr:col>
      <xdr:colOff>533400</xdr:colOff>
      <xdr:row>55</xdr:row>
      <xdr:rowOff>47625</xdr:rowOff>
    </xdr:to>
    <xdr:pic>
      <xdr:nvPicPr>
        <xdr:cNvPr id="10" name="Picture 1" descr="DWS logo"/>
        <xdr:cNvPicPr>
          <a:picLocks noChangeAspect="1" noChangeArrowheads="1"/>
        </xdr:cNvPicPr>
      </xdr:nvPicPr>
      <xdr:blipFill>
        <a:blip xmlns:r="http://schemas.openxmlformats.org/officeDocument/2006/relationships" r:embed="rId2" cstate="print"/>
        <a:srcRect/>
        <a:stretch>
          <a:fillRect/>
        </a:stretch>
      </xdr:blipFill>
      <xdr:spPr bwMode="auto">
        <a:xfrm>
          <a:off x="4448175" y="8943975"/>
          <a:ext cx="1400175" cy="266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KATHLE~1/LOCALS~1/Temp/OWHLF%20Non%20Tax%20Credit%20Application%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coring Data"/>
      <sheetName val="OWHLF Score"/>
      <sheetName val="Proforma"/>
      <sheetName val="Required Forms"/>
      <sheetName val="911 Review"/>
    </sheetNames>
    <sheetDataSet>
      <sheetData sheetId="0"/>
      <sheetData sheetId="1">
        <row r="74">
          <cell r="L74" t="str">
            <v>Cache</v>
          </cell>
          <cell r="M74">
            <v>1</v>
          </cell>
        </row>
        <row r="75">
          <cell r="L75" t="str">
            <v>Davis</v>
          </cell>
          <cell r="M75">
            <v>1</v>
          </cell>
        </row>
        <row r="76">
          <cell r="L76" t="str">
            <v>Juab</v>
          </cell>
          <cell r="M76">
            <v>1</v>
          </cell>
        </row>
        <row r="77">
          <cell r="L77" t="str">
            <v>Morgan</v>
          </cell>
          <cell r="M77">
            <v>1</v>
          </cell>
        </row>
        <row r="78">
          <cell r="L78" t="str">
            <v>Salt Lake</v>
          </cell>
          <cell r="M78">
            <v>1</v>
          </cell>
        </row>
        <row r="79">
          <cell r="L79" t="str">
            <v>Summit</v>
          </cell>
          <cell r="M79">
            <v>1</v>
          </cell>
        </row>
        <row r="80">
          <cell r="L80" t="str">
            <v>Tooele</v>
          </cell>
          <cell r="M80">
            <v>1</v>
          </cell>
        </row>
        <row r="81">
          <cell r="L81" t="str">
            <v>Utah</v>
          </cell>
          <cell r="M81">
            <v>1</v>
          </cell>
        </row>
        <row r="82">
          <cell r="L82" t="str">
            <v>Washington</v>
          </cell>
          <cell r="M82">
            <v>1</v>
          </cell>
        </row>
        <row r="83">
          <cell r="L83" t="str">
            <v>Weber</v>
          </cell>
          <cell r="M83">
            <v>1</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le.utah.gov/house/DistrictInfo/NewMaps/State.htm" TargetMode="External"/><Relationship Id="rId7" Type="http://schemas.openxmlformats.org/officeDocument/2006/relationships/hyperlink" Target="http://www.energystar.gov/index.cfm?c=bldrs_lenders_raters.nh_multifamily_highrise" TargetMode="External"/><Relationship Id="rId2" Type="http://schemas.openxmlformats.org/officeDocument/2006/relationships/hyperlink" Target="http://www.utahsenate.org/perl/distmapal.pl" TargetMode="External"/><Relationship Id="rId1" Type="http://schemas.openxmlformats.org/officeDocument/2006/relationships/hyperlink" Target="http://www.ffiec.gov/geocode/default.htm" TargetMode="External"/><Relationship Id="rId6" Type="http://schemas.openxmlformats.org/officeDocument/2006/relationships/hyperlink" Target="http://www.thermwise.com/" TargetMode="External"/><Relationship Id="rId5" Type="http://schemas.openxmlformats.org/officeDocument/2006/relationships/hyperlink" Target="http://www.rockymountainpower.net/" TargetMode="External"/><Relationship Id="rId4" Type="http://schemas.openxmlformats.org/officeDocument/2006/relationships/hyperlink" Target="http://www.visi.com/juan/congres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0"/>
  <sheetViews>
    <sheetView tabSelected="1" view="pageBreakPreview" zoomScaleNormal="100" zoomScaleSheetLayoutView="100" workbookViewId="0">
      <selection activeCell="A21" sqref="A21"/>
    </sheetView>
  </sheetViews>
  <sheetFormatPr defaultColWidth="8.85546875" defaultRowHeight="12.75" x14ac:dyDescent="0.2"/>
  <cols>
    <col min="1" max="4" width="8.85546875" style="23" customWidth="1"/>
    <col min="5" max="5" width="9.28515625" style="23" bestFit="1" customWidth="1"/>
    <col min="6" max="6" width="10.140625" style="23" bestFit="1" customWidth="1"/>
    <col min="7" max="7" width="9.42578125" style="23" bestFit="1" customWidth="1"/>
    <col min="8" max="8" width="9.28515625" style="23" customWidth="1"/>
    <col min="9" max="10" width="8.85546875" style="23" customWidth="1"/>
    <col min="11" max="11" width="8.85546875" style="23" hidden="1" customWidth="1"/>
    <col min="12" max="13" width="10.85546875" style="23" hidden="1" customWidth="1"/>
    <col min="14" max="18" width="8.85546875" style="23" hidden="1" customWidth="1"/>
    <col min="19" max="21" width="8.85546875" style="23" customWidth="1"/>
    <col min="22" max="16384" width="8.85546875" style="23"/>
  </cols>
  <sheetData>
    <row r="1" spans="1:11" x14ac:dyDescent="0.2">
      <c r="A1" s="9"/>
      <c r="B1" s="9"/>
      <c r="C1" s="9"/>
      <c r="D1" s="9"/>
      <c r="E1" s="9"/>
      <c r="F1" s="9"/>
      <c r="G1" s="9"/>
      <c r="H1" s="9"/>
      <c r="I1" s="9"/>
      <c r="J1" s="9"/>
      <c r="K1" s="9"/>
    </row>
    <row r="2" spans="1:11" x14ac:dyDescent="0.2">
      <c r="A2" s="9"/>
      <c r="B2" s="9"/>
      <c r="C2" s="9"/>
      <c r="D2" s="9"/>
      <c r="E2" s="9"/>
      <c r="F2" s="9"/>
      <c r="G2" s="9"/>
      <c r="H2" s="9"/>
      <c r="I2" s="9"/>
      <c r="J2" s="9"/>
      <c r="K2" s="9"/>
    </row>
    <row r="3" spans="1:11" x14ac:dyDescent="0.2">
      <c r="A3" s="9"/>
      <c r="B3" s="9"/>
      <c r="C3" s="9"/>
      <c r="D3" s="9"/>
      <c r="E3" s="9"/>
      <c r="F3" s="9"/>
      <c r="G3" s="9"/>
      <c r="H3" s="9"/>
      <c r="I3" s="9"/>
      <c r="J3" s="9"/>
      <c r="K3" s="9"/>
    </row>
    <row r="4" spans="1:11" x14ac:dyDescent="0.2">
      <c r="A4" s="9"/>
      <c r="B4" s="9"/>
      <c r="C4" s="9"/>
      <c r="D4" s="9"/>
      <c r="E4" s="9"/>
      <c r="F4" s="9"/>
      <c r="G4" s="9"/>
      <c r="H4" s="9"/>
      <c r="I4" s="9"/>
      <c r="J4" s="9"/>
      <c r="K4" s="9"/>
    </row>
    <row r="5" spans="1:11" x14ac:dyDescent="0.2">
      <c r="A5" s="9"/>
      <c r="B5" s="9"/>
      <c r="C5" s="9"/>
      <c r="D5" s="9"/>
      <c r="E5" s="9"/>
      <c r="F5" s="9"/>
      <c r="G5" s="9"/>
      <c r="H5" s="9"/>
      <c r="I5" s="9"/>
      <c r="J5" s="9"/>
      <c r="K5" s="9"/>
    </row>
    <row r="6" spans="1:11" x14ac:dyDescent="0.2">
      <c r="A6" s="9"/>
      <c r="B6" s="9"/>
      <c r="C6" s="9"/>
      <c r="D6" s="9"/>
      <c r="E6" s="9"/>
      <c r="F6" s="9"/>
      <c r="G6" s="9"/>
      <c r="H6" s="9"/>
      <c r="I6" s="9"/>
      <c r="J6" s="9"/>
      <c r="K6" s="9"/>
    </row>
    <row r="7" spans="1:11" x14ac:dyDescent="0.2">
      <c r="A7" s="9"/>
      <c r="B7" s="9"/>
      <c r="C7" s="9"/>
      <c r="D7" s="9"/>
      <c r="E7" s="9"/>
      <c r="F7" s="9"/>
      <c r="G7" s="9"/>
      <c r="H7" s="9"/>
      <c r="I7" s="9"/>
      <c r="J7" s="9"/>
      <c r="K7" s="9"/>
    </row>
    <row r="8" spans="1:11" x14ac:dyDescent="0.2">
      <c r="A8" s="9"/>
      <c r="B8" s="9"/>
      <c r="C8" s="9"/>
      <c r="D8" s="9"/>
      <c r="E8" s="9"/>
      <c r="F8" s="9"/>
      <c r="G8" s="9"/>
      <c r="H8" s="9"/>
      <c r="I8" s="9"/>
      <c r="J8" s="9"/>
      <c r="K8" s="9"/>
    </row>
    <row r="9" spans="1:11" ht="15.75" x14ac:dyDescent="0.25">
      <c r="A9" s="598" t="s">
        <v>1060</v>
      </c>
      <c r="B9" s="598"/>
      <c r="C9" s="598"/>
      <c r="D9" s="598"/>
      <c r="E9" s="598"/>
      <c r="F9" s="598"/>
      <c r="G9" s="598"/>
      <c r="H9" s="598"/>
      <c r="I9" s="598"/>
      <c r="J9" s="598"/>
      <c r="K9" s="238"/>
    </row>
    <row r="10" spans="1:11" ht="15.75" x14ac:dyDescent="0.25">
      <c r="A10" s="598" t="s">
        <v>1061</v>
      </c>
      <c r="B10" s="598"/>
      <c r="C10" s="598"/>
      <c r="D10" s="598"/>
      <c r="E10" s="598"/>
      <c r="F10" s="598"/>
      <c r="G10" s="598"/>
      <c r="H10" s="598"/>
      <c r="I10" s="598"/>
      <c r="J10" s="598"/>
      <c r="K10" s="238"/>
    </row>
    <row r="11" spans="1:11" ht="15.75" x14ac:dyDescent="0.25">
      <c r="A11" s="598" t="s">
        <v>88</v>
      </c>
      <c r="B11" s="598"/>
      <c r="C11" s="598"/>
      <c r="D11" s="598"/>
      <c r="E11" s="598"/>
      <c r="F11" s="598"/>
      <c r="G11" s="598"/>
      <c r="H11" s="598"/>
      <c r="I11" s="598"/>
      <c r="J11" s="598"/>
      <c r="K11" s="238"/>
    </row>
    <row r="12" spans="1:11" x14ac:dyDescent="0.2">
      <c r="A12" s="26"/>
      <c r="B12" s="9"/>
      <c r="C12" s="9"/>
      <c r="D12" s="9"/>
      <c r="E12" s="9"/>
      <c r="F12" s="9"/>
      <c r="G12" s="9"/>
      <c r="H12" s="9"/>
      <c r="I12" s="27"/>
      <c r="J12" s="9"/>
      <c r="K12" s="9"/>
    </row>
    <row r="13" spans="1:11" ht="15.75" x14ac:dyDescent="0.25">
      <c r="A13" s="9"/>
      <c r="B13" s="9"/>
      <c r="C13" s="9"/>
      <c r="D13" s="599" t="s">
        <v>1140</v>
      </c>
      <c r="E13" s="599"/>
      <c r="F13" s="599"/>
      <c r="G13" s="599"/>
      <c r="H13" s="9"/>
      <c r="I13" s="9"/>
      <c r="J13" s="9"/>
      <c r="K13" s="9"/>
    </row>
    <row r="14" spans="1:11" x14ac:dyDescent="0.2">
      <c r="A14" s="9"/>
      <c r="B14" s="9"/>
      <c r="C14" s="9"/>
      <c r="D14" s="9"/>
      <c r="E14" s="9"/>
      <c r="F14" s="9"/>
      <c r="G14" s="9"/>
      <c r="H14" s="9"/>
      <c r="I14" s="9"/>
      <c r="J14" s="9"/>
      <c r="K14" s="9"/>
    </row>
    <row r="15" spans="1:11" x14ac:dyDescent="0.2">
      <c r="A15" s="9"/>
      <c r="B15" s="9"/>
      <c r="C15" s="9"/>
      <c r="D15" s="441" t="s">
        <v>259</v>
      </c>
      <c r="E15" s="441"/>
      <c r="F15" s="441"/>
      <c r="G15" s="441"/>
      <c r="H15" s="9"/>
      <c r="I15" s="9"/>
      <c r="J15" s="9"/>
      <c r="K15" s="9"/>
    </row>
    <row r="16" spans="1:11" x14ac:dyDescent="0.2">
      <c r="A16" s="9"/>
      <c r="B16" s="9"/>
      <c r="C16" s="441" t="s">
        <v>6</v>
      </c>
      <c r="D16" s="441"/>
      <c r="E16" s="441"/>
      <c r="F16" s="441"/>
      <c r="G16" s="441"/>
      <c r="H16" s="441"/>
      <c r="I16" s="9"/>
      <c r="J16" s="9"/>
      <c r="K16" s="9"/>
    </row>
    <row r="17" spans="1:11" x14ac:dyDescent="0.2">
      <c r="A17" s="9"/>
      <c r="B17" s="9"/>
      <c r="C17" s="9"/>
      <c r="D17" s="441" t="s">
        <v>984</v>
      </c>
      <c r="E17" s="441"/>
      <c r="F17" s="441"/>
      <c r="G17" s="441"/>
      <c r="H17" s="9"/>
      <c r="I17" s="9"/>
      <c r="J17" s="9"/>
      <c r="K17" s="9"/>
    </row>
    <row r="18" spans="1:11" x14ac:dyDescent="0.2">
      <c r="A18" s="9"/>
      <c r="B18" s="9"/>
      <c r="C18" s="9"/>
      <c r="D18" s="441" t="s">
        <v>1050</v>
      </c>
      <c r="E18" s="441"/>
      <c r="F18" s="441"/>
      <c r="G18" s="441"/>
      <c r="H18" s="9"/>
      <c r="I18" s="9"/>
      <c r="J18" s="9"/>
      <c r="K18" s="9"/>
    </row>
    <row r="19" spans="1:11" x14ac:dyDescent="0.2">
      <c r="A19" s="9"/>
      <c r="B19" s="9"/>
      <c r="C19" s="9"/>
      <c r="D19" s="441" t="s">
        <v>983</v>
      </c>
      <c r="E19" s="441"/>
      <c r="F19" s="441"/>
      <c r="G19" s="441"/>
      <c r="H19" s="9"/>
      <c r="I19" s="9"/>
      <c r="J19" s="9"/>
      <c r="K19" s="9"/>
    </row>
    <row r="20" spans="1:11" x14ac:dyDescent="0.2">
      <c r="A20" s="9"/>
      <c r="B20" s="9"/>
      <c r="C20" s="441" t="s">
        <v>596</v>
      </c>
      <c r="D20" s="441"/>
      <c r="E20" s="441"/>
      <c r="F20" s="441"/>
      <c r="G20" s="441"/>
      <c r="H20" s="441"/>
      <c r="I20" s="9"/>
      <c r="J20" s="9"/>
      <c r="K20" s="9"/>
    </row>
    <row r="21" spans="1:11" x14ac:dyDescent="0.2">
      <c r="A21" s="9"/>
      <c r="B21" s="9"/>
      <c r="C21" s="9"/>
      <c r="D21" s="9"/>
      <c r="E21" s="9"/>
      <c r="F21" s="9"/>
      <c r="G21" s="9"/>
      <c r="H21" s="9"/>
      <c r="I21" s="9"/>
      <c r="J21" s="9"/>
      <c r="K21" s="9"/>
    </row>
    <row r="22" spans="1:11" x14ac:dyDescent="0.2">
      <c r="A22" s="443" t="s">
        <v>833</v>
      </c>
      <c r="B22" s="443"/>
      <c r="C22" s="443"/>
      <c r="D22" s="443"/>
      <c r="E22" s="443"/>
      <c r="F22" s="443"/>
      <c r="G22" s="443"/>
      <c r="H22" s="443"/>
      <c r="I22" s="443"/>
      <c r="J22" s="443"/>
      <c r="K22" s="235"/>
    </row>
    <row r="23" spans="1:11" x14ac:dyDescent="0.2">
      <c r="A23" s="9"/>
      <c r="B23" s="9"/>
      <c r="C23" s="9"/>
      <c r="D23" s="9"/>
      <c r="E23" s="9"/>
      <c r="F23" s="9"/>
      <c r="G23" s="9"/>
      <c r="H23" s="9"/>
      <c r="I23" s="9"/>
      <c r="J23" s="9"/>
      <c r="K23" s="9"/>
    </row>
    <row r="24" spans="1:11" ht="13.15" customHeight="1" x14ac:dyDescent="0.2">
      <c r="A24" s="435" t="s">
        <v>1062</v>
      </c>
      <c r="B24" s="435"/>
      <c r="C24" s="435"/>
      <c r="D24" s="435"/>
      <c r="E24" s="435"/>
      <c r="F24" s="435"/>
      <c r="G24" s="435"/>
      <c r="H24" s="435"/>
      <c r="I24" s="435"/>
      <c r="J24" s="435"/>
      <c r="K24" s="132"/>
    </row>
    <row r="25" spans="1:11" x14ac:dyDescent="0.2">
      <c r="A25" s="435"/>
      <c r="B25" s="435"/>
      <c r="C25" s="435"/>
      <c r="D25" s="435"/>
      <c r="E25" s="435"/>
      <c r="F25" s="435"/>
      <c r="G25" s="435"/>
      <c r="H25" s="435"/>
      <c r="I25" s="435"/>
      <c r="J25" s="435"/>
      <c r="K25" s="132"/>
    </row>
    <row r="26" spans="1:11" x14ac:dyDescent="0.2">
      <c r="A26" s="435"/>
      <c r="B26" s="435"/>
      <c r="C26" s="435"/>
      <c r="D26" s="435"/>
      <c r="E26" s="435"/>
      <c r="F26" s="435"/>
      <c r="G26" s="435"/>
      <c r="H26" s="435"/>
      <c r="I26" s="435"/>
      <c r="J26" s="435"/>
      <c r="K26" s="132"/>
    </row>
    <row r="27" spans="1:11" x14ac:dyDescent="0.2">
      <c r="A27" s="435"/>
      <c r="B27" s="435"/>
      <c r="C27" s="435"/>
      <c r="D27" s="435"/>
      <c r="E27" s="435"/>
      <c r="F27" s="435"/>
      <c r="G27" s="435"/>
      <c r="H27" s="435"/>
      <c r="I27" s="435"/>
      <c r="J27" s="435"/>
      <c r="K27" s="132"/>
    </row>
    <row r="28" spans="1:11" x14ac:dyDescent="0.2">
      <c r="A28" s="435"/>
      <c r="B28" s="435"/>
      <c r="C28" s="435"/>
      <c r="D28" s="435"/>
      <c r="E28" s="435"/>
      <c r="F28" s="435"/>
      <c r="G28" s="435"/>
      <c r="H28" s="435"/>
      <c r="I28" s="435"/>
      <c r="J28" s="435"/>
      <c r="K28" s="132"/>
    </row>
    <row r="29" spans="1:11" x14ac:dyDescent="0.2">
      <c r="A29" s="9"/>
      <c r="B29" s="9"/>
      <c r="C29" s="9"/>
      <c r="D29" s="9"/>
      <c r="E29" s="9"/>
      <c r="F29" s="9"/>
      <c r="G29" s="9"/>
      <c r="H29" s="9"/>
      <c r="I29" s="9"/>
      <c r="J29" s="9"/>
      <c r="K29" s="9"/>
    </row>
    <row r="30" spans="1:11" x14ac:dyDescent="0.2">
      <c r="A30" s="601" t="s">
        <v>1029</v>
      </c>
      <c r="B30" s="601"/>
      <c r="C30" s="601"/>
      <c r="D30" s="601"/>
      <c r="E30" s="601"/>
      <c r="F30" s="601"/>
      <c r="G30" s="601"/>
      <c r="H30" s="601"/>
      <c r="I30" s="601"/>
      <c r="J30" s="601"/>
      <c r="K30" s="133"/>
    </row>
    <row r="31" spans="1:11" ht="13.15" customHeight="1" x14ac:dyDescent="0.2">
      <c r="A31" s="600" t="s">
        <v>1141</v>
      </c>
      <c r="B31" s="591"/>
      <c r="C31" s="591"/>
      <c r="D31" s="591"/>
      <c r="E31" s="591"/>
      <c r="F31" s="591"/>
      <c r="G31" s="591"/>
      <c r="H31" s="591"/>
      <c r="I31" s="591"/>
      <c r="J31" s="591"/>
      <c r="K31" s="237"/>
    </row>
    <row r="32" spans="1:11" x14ac:dyDescent="0.2">
      <c r="A32" s="591"/>
      <c r="B32" s="591"/>
      <c r="C32" s="591"/>
      <c r="D32" s="591"/>
      <c r="E32" s="591"/>
      <c r="F32" s="591"/>
      <c r="G32" s="591"/>
      <c r="H32" s="591"/>
      <c r="I32" s="591"/>
      <c r="J32" s="591"/>
      <c r="K32" s="237"/>
    </row>
    <row r="33" spans="1:11" x14ac:dyDescent="0.2">
      <c r="A33" s="591"/>
      <c r="B33" s="591"/>
      <c r="C33" s="591"/>
      <c r="D33" s="591"/>
      <c r="E33" s="591"/>
      <c r="F33" s="591"/>
      <c r="G33" s="591"/>
      <c r="H33" s="591"/>
      <c r="I33" s="591"/>
      <c r="J33" s="591"/>
      <c r="K33" s="237"/>
    </row>
    <row r="34" spans="1:11" x14ac:dyDescent="0.2">
      <c r="A34" s="591"/>
      <c r="B34" s="591"/>
      <c r="C34" s="591"/>
      <c r="D34" s="591"/>
      <c r="E34" s="591"/>
      <c r="F34" s="591"/>
      <c r="G34" s="591"/>
      <c r="H34" s="591"/>
      <c r="I34" s="591"/>
      <c r="J34" s="591"/>
      <c r="K34" s="237"/>
    </row>
    <row r="35" spans="1:11" x14ac:dyDescent="0.2">
      <c r="A35" s="591"/>
      <c r="B35" s="591"/>
      <c r="C35" s="591"/>
      <c r="D35" s="591"/>
      <c r="E35" s="591"/>
      <c r="F35" s="591"/>
      <c r="G35" s="591"/>
      <c r="H35" s="591"/>
      <c r="I35" s="591"/>
      <c r="J35" s="591"/>
      <c r="K35" s="237"/>
    </row>
    <row r="36" spans="1:11" ht="12.75" customHeight="1" x14ac:dyDescent="0.2">
      <c r="A36" s="440" t="s">
        <v>1142</v>
      </c>
      <c r="B36" s="435"/>
      <c r="C36" s="435"/>
      <c r="D36" s="435"/>
      <c r="E36" s="435"/>
      <c r="F36" s="435"/>
      <c r="G36" s="435"/>
      <c r="H36" s="435"/>
      <c r="I36" s="435"/>
      <c r="J36" s="435"/>
      <c r="K36" s="132"/>
    </row>
    <row r="37" spans="1:11" x14ac:dyDescent="0.2">
      <c r="A37" s="435"/>
      <c r="B37" s="435"/>
      <c r="C37" s="435"/>
      <c r="D37" s="435"/>
      <c r="E37" s="435"/>
      <c r="F37" s="435"/>
      <c r="G37" s="435"/>
      <c r="H37" s="435"/>
      <c r="I37" s="435"/>
      <c r="J37" s="435"/>
      <c r="K37" s="132"/>
    </row>
    <row r="38" spans="1:11" x14ac:dyDescent="0.2">
      <c r="A38" s="435"/>
      <c r="B38" s="435"/>
      <c r="C38" s="435"/>
      <c r="D38" s="435"/>
      <c r="E38" s="435"/>
      <c r="F38" s="435"/>
      <c r="G38" s="435"/>
      <c r="H38" s="435"/>
      <c r="I38" s="435"/>
      <c r="J38" s="435"/>
      <c r="K38" s="132"/>
    </row>
    <row r="39" spans="1:11" x14ac:dyDescent="0.2">
      <c r="A39" s="435"/>
      <c r="B39" s="435"/>
      <c r="C39" s="435"/>
      <c r="D39" s="435"/>
      <c r="E39" s="435"/>
      <c r="F39" s="435"/>
      <c r="G39" s="435"/>
      <c r="H39" s="435"/>
      <c r="I39" s="435"/>
      <c r="J39" s="435"/>
      <c r="K39" s="132"/>
    </row>
    <row r="40" spans="1:11" x14ac:dyDescent="0.2">
      <c r="A40" s="435"/>
      <c r="B40" s="435"/>
      <c r="C40" s="435"/>
      <c r="D40" s="435"/>
      <c r="E40" s="435"/>
      <c r="F40" s="435"/>
      <c r="G40" s="435"/>
      <c r="H40" s="435"/>
      <c r="I40" s="435"/>
      <c r="J40" s="435"/>
      <c r="K40" s="132"/>
    </row>
    <row r="41" spans="1:11" x14ac:dyDescent="0.2">
      <c r="A41" s="435"/>
      <c r="B41" s="435"/>
      <c r="C41" s="435"/>
      <c r="D41" s="435"/>
      <c r="E41" s="435"/>
      <c r="F41" s="435"/>
      <c r="G41" s="435"/>
      <c r="H41" s="435"/>
      <c r="I41" s="435"/>
      <c r="J41" s="435"/>
      <c r="K41" s="132"/>
    </row>
    <row r="42" spans="1:11" x14ac:dyDescent="0.2">
      <c r="A42" s="435"/>
      <c r="B42" s="435"/>
      <c r="C42" s="435"/>
      <c r="D42" s="435"/>
      <c r="E42" s="435"/>
      <c r="F42" s="435"/>
      <c r="G42" s="435"/>
      <c r="H42" s="435"/>
      <c r="I42" s="435"/>
      <c r="J42" s="435"/>
      <c r="K42" s="132"/>
    </row>
    <row r="43" spans="1:11" x14ac:dyDescent="0.2">
      <c r="A43" s="132"/>
      <c r="B43" s="132"/>
      <c r="C43" s="132"/>
      <c r="D43" s="132"/>
      <c r="E43" s="132"/>
      <c r="F43" s="132"/>
      <c r="G43" s="132"/>
      <c r="H43" s="132"/>
      <c r="I43" s="132"/>
      <c r="J43" s="132"/>
      <c r="K43" s="132"/>
    </row>
    <row r="44" spans="1:11" x14ac:dyDescent="0.2">
      <c r="A44" s="591" t="s">
        <v>1030</v>
      </c>
      <c r="B44" s="591"/>
      <c r="C44" s="591"/>
      <c r="D44" s="591"/>
      <c r="E44" s="591"/>
      <c r="F44" s="591"/>
      <c r="G44" s="591"/>
      <c r="H44" s="591"/>
      <c r="I44" s="591"/>
      <c r="J44" s="591"/>
      <c r="K44" s="237"/>
    </row>
    <row r="45" spans="1:11" x14ac:dyDescent="0.2">
      <c r="A45" s="591"/>
      <c r="B45" s="591"/>
      <c r="C45" s="591"/>
      <c r="D45" s="591"/>
      <c r="E45" s="591"/>
      <c r="F45" s="591"/>
      <c r="G45" s="591"/>
      <c r="H45" s="591"/>
      <c r="I45" s="591"/>
      <c r="J45" s="591"/>
      <c r="K45" s="237"/>
    </row>
    <row r="46" spans="1:11" x14ac:dyDescent="0.2">
      <c r="A46" s="9"/>
      <c r="B46" s="9"/>
      <c r="C46" s="9"/>
      <c r="D46" s="9"/>
      <c r="E46" s="9"/>
      <c r="F46" s="9"/>
      <c r="G46" s="9"/>
      <c r="H46" s="9"/>
      <c r="I46" s="9"/>
      <c r="J46" s="9"/>
      <c r="K46" s="9"/>
    </row>
    <row r="47" spans="1:11" x14ac:dyDescent="0.2">
      <c r="A47" s="9"/>
      <c r="B47" s="9"/>
      <c r="C47" s="30"/>
      <c r="D47" s="441" t="s">
        <v>1136</v>
      </c>
      <c r="E47" s="441"/>
      <c r="F47" s="441"/>
      <c r="G47" s="441"/>
      <c r="H47" s="30"/>
      <c r="I47" s="9"/>
      <c r="J47" s="9"/>
      <c r="K47" s="9"/>
    </row>
    <row r="48" spans="1:11" x14ac:dyDescent="0.2">
      <c r="A48" s="9"/>
      <c r="B48" s="9"/>
      <c r="C48" s="9"/>
      <c r="D48" s="441" t="s">
        <v>1137</v>
      </c>
      <c r="E48" s="441"/>
      <c r="F48" s="441"/>
      <c r="G48" s="441"/>
      <c r="H48" s="9"/>
      <c r="I48" s="9"/>
      <c r="J48" s="9"/>
      <c r="K48" s="9"/>
    </row>
    <row r="49" spans="1:11" x14ac:dyDescent="0.2">
      <c r="A49" s="9"/>
      <c r="B49" s="9"/>
      <c r="C49" s="9"/>
      <c r="D49" s="441" t="s">
        <v>1122</v>
      </c>
      <c r="E49" s="441"/>
      <c r="F49" s="441"/>
      <c r="G49" s="441"/>
      <c r="H49" s="9"/>
      <c r="I49" s="9"/>
      <c r="J49" s="9"/>
      <c r="K49" s="9"/>
    </row>
    <row r="50" spans="1:11" x14ac:dyDescent="0.2">
      <c r="A50" s="9"/>
      <c r="B50" s="9"/>
      <c r="C50" s="441" t="s">
        <v>46</v>
      </c>
      <c r="D50" s="441"/>
      <c r="E50" s="441"/>
      <c r="F50" s="441"/>
      <c r="G50" s="441"/>
      <c r="H50" s="441"/>
      <c r="I50" s="9"/>
      <c r="J50" s="9"/>
      <c r="K50" s="9"/>
    </row>
    <row r="51" spans="1:11" x14ac:dyDescent="0.2">
      <c r="A51" s="9"/>
      <c r="B51" s="9"/>
      <c r="C51" s="9"/>
      <c r="D51" s="441" t="s">
        <v>1123</v>
      </c>
      <c r="E51" s="441"/>
      <c r="F51" s="441"/>
      <c r="G51" s="441"/>
      <c r="H51" s="9"/>
      <c r="I51" s="9"/>
      <c r="J51" s="9"/>
      <c r="K51" s="9"/>
    </row>
    <row r="52" spans="1:11" x14ac:dyDescent="0.2">
      <c r="A52" s="9"/>
      <c r="B52" s="9"/>
      <c r="C52" s="9"/>
      <c r="D52" s="441" t="s">
        <v>47</v>
      </c>
      <c r="E52" s="441"/>
      <c r="F52" s="441"/>
      <c r="G52" s="441"/>
      <c r="H52" s="9"/>
      <c r="I52" s="9"/>
      <c r="J52" s="9"/>
      <c r="K52" s="9"/>
    </row>
    <row r="53" spans="1:11" x14ac:dyDescent="0.2">
      <c r="A53" s="9"/>
      <c r="B53" s="9"/>
      <c r="C53" s="9"/>
      <c r="D53" s="9"/>
      <c r="E53" s="9"/>
      <c r="F53" s="9"/>
      <c r="G53" s="9"/>
      <c r="H53" s="9"/>
      <c r="I53" s="9"/>
      <c r="J53" s="9"/>
      <c r="K53" s="9"/>
    </row>
    <row r="54" spans="1:11" x14ac:dyDescent="0.2">
      <c r="A54" s="441" t="s">
        <v>1060</v>
      </c>
      <c r="B54" s="441"/>
      <c r="C54" s="441"/>
      <c r="D54" s="441"/>
      <c r="E54" s="441"/>
      <c r="F54" s="441"/>
      <c r="G54" s="441"/>
      <c r="H54" s="441"/>
      <c r="I54" s="441"/>
      <c r="J54" s="441"/>
      <c r="K54" s="28"/>
    </row>
    <row r="55" spans="1:11" x14ac:dyDescent="0.2">
      <c r="A55" s="441" t="s">
        <v>1061</v>
      </c>
      <c r="B55" s="441"/>
      <c r="C55" s="441"/>
      <c r="D55" s="441"/>
      <c r="E55" s="441"/>
      <c r="F55" s="441"/>
      <c r="G55" s="441"/>
      <c r="H55" s="441"/>
      <c r="I55" s="441"/>
      <c r="J55" s="441"/>
      <c r="K55" s="28"/>
    </row>
    <row r="56" spans="1:11" x14ac:dyDescent="0.2">
      <c r="A56" s="441" t="s">
        <v>88</v>
      </c>
      <c r="B56" s="441"/>
      <c r="C56" s="441"/>
      <c r="D56" s="441"/>
      <c r="E56" s="441"/>
      <c r="F56" s="441"/>
      <c r="G56" s="441"/>
      <c r="H56" s="441"/>
      <c r="I56" s="441"/>
      <c r="J56" s="441"/>
      <c r="K56" s="28"/>
    </row>
    <row r="57" spans="1:11" x14ac:dyDescent="0.2">
      <c r="A57" s="26"/>
      <c r="B57" s="9"/>
      <c r="C57" s="9"/>
      <c r="D57" s="446" t="str">
        <f>IF($B$229="","",$B$229)</f>
        <v/>
      </c>
      <c r="E57" s="446"/>
      <c r="F57" s="446"/>
      <c r="G57" s="446"/>
      <c r="H57" s="9"/>
      <c r="I57" s="27"/>
      <c r="J57" s="9"/>
      <c r="K57" s="9"/>
    </row>
    <row r="58" spans="1:11" x14ac:dyDescent="0.2">
      <c r="A58" s="9"/>
      <c r="B58" s="9"/>
      <c r="C58" s="9"/>
      <c r="D58" s="443" t="s">
        <v>1143</v>
      </c>
      <c r="E58" s="443"/>
      <c r="F58" s="443"/>
      <c r="G58" s="443"/>
      <c r="H58" s="9"/>
      <c r="I58" s="9"/>
      <c r="J58" s="9"/>
      <c r="K58" s="9"/>
    </row>
    <row r="59" spans="1:11" x14ac:dyDescent="0.2">
      <c r="A59" s="443" t="s">
        <v>832</v>
      </c>
      <c r="B59" s="443"/>
      <c r="C59" s="443"/>
      <c r="D59" s="443"/>
      <c r="E59" s="443"/>
      <c r="F59" s="443"/>
      <c r="G59" s="443"/>
      <c r="H59" s="443"/>
      <c r="I59" s="443"/>
      <c r="J59" s="443"/>
      <c r="K59" s="235"/>
    </row>
    <row r="60" spans="1:11" x14ac:dyDescent="0.2">
      <c r="A60" s="9"/>
      <c r="B60" s="9"/>
      <c r="C60" s="9"/>
      <c r="D60" s="9"/>
      <c r="E60" s="9"/>
      <c r="F60" s="9"/>
      <c r="G60" s="9"/>
      <c r="H60" s="9"/>
      <c r="I60" s="9"/>
      <c r="J60" s="9"/>
      <c r="K60" s="9"/>
    </row>
    <row r="61" spans="1:11" x14ac:dyDescent="0.2">
      <c r="A61" s="435" t="s">
        <v>1033</v>
      </c>
      <c r="B61" s="435"/>
      <c r="C61" s="435"/>
      <c r="D61" s="435"/>
      <c r="E61" s="435"/>
      <c r="F61" s="435"/>
      <c r="G61" s="435"/>
      <c r="H61" s="435"/>
      <c r="I61" s="435"/>
      <c r="J61" s="435"/>
      <c r="K61" s="132"/>
    </row>
    <row r="62" spans="1:11" x14ac:dyDescent="0.2">
      <c r="A62" s="435"/>
      <c r="B62" s="435"/>
      <c r="C62" s="435"/>
      <c r="D62" s="435"/>
      <c r="E62" s="435"/>
      <c r="F62" s="435"/>
      <c r="G62" s="435"/>
      <c r="H62" s="435"/>
      <c r="I62" s="435"/>
      <c r="J62" s="435"/>
      <c r="K62" s="132"/>
    </row>
    <row r="63" spans="1:11" x14ac:dyDescent="0.2">
      <c r="A63" s="435"/>
      <c r="B63" s="435"/>
      <c r="C63" s="435"/>
      <c r="D63" s="435"/>
      <c r="E63" s="435"/>
      <c r="F63" s="435"/>
      <c r="G63" s="435"/>
      <c r="H63" s="435"/>
      <c r="I63" s="435"/>
      <c r="J63" s="435"/>
      <c r="K63" s="132"/>
    </row>
    <row r="64" spans="1:11" x14ac:dyDescent="0.2">
      <c r="A64" s="9"/>
      <c r="B64" s="9"/>
      <c r="C64" s="9"/>
      <c r="D64" s="9"/>
      <c r="E64" s="9"/>
      <c r="F64" s="9"/>
      <c r="G64" s="9"/>
      <c r="H64" s="9"/>
      <c r="I64" s="9"/>
      <c r="J64" s="9"/>
      <c r="K64" s="9"/>
    </row>
    <row r="65" spans="1:12" x14ac:dyDescent="0.2">
      <c r="A65" s="435" t="s">
        <v>1034</v>
      </c>
      <c r="B65" s="435"/>
      <c r="C65" s="435"/>
      <c r="D65" s="435"/>
      <c r="E65" s="435"/>
      <c r="F65" s="435"/>
      <c r="G65" s="435"/>
      <c r="H65" s="435"/>
      <c r="I65" s="435"/>
      <c r="J65" s="435"/>
      <c r="K65" s="132"/>
      <c r="L65" s="23" t="s">
        <v>211</v>
      </c>
    </row>
    <row r="66" spans="1:12" x14ac:dyDescent="0.2">
      <c r="A66" s="435"/>
      <c r="B66" s="435"/>
      <c r="C66" s="435"/>
      <c r="D66" s="435"/>
      <c r="E66" s="435"/>
      <c r="F66" s="435"/>
      <c r="G66" s="435"/>
      <c r="H66" s="435"/>
      <c r="I66" s="435"/>
      <c r="J66" s="435"/>
      <c r="K66" s="132"/>
      <c r="L66" s="23" t="s">
        <v>227</v>
      </c>
    </row>
    <row r="67" spans="1:12" x14ac:dyDescent="0.2">
      <c r="A67" s="9"/>
      <c r="B67" s="9"/>
      <c r="C67" s="9"/>
      <c r="D67" s="9"/>
      <c r="E67" s="9"/>
      <c r="F67" s="9"/>
      <c r="G67" s="9"/>
      <c r="H67" s="9"/>
      <c r="I67" s="9"/>
      <c r="J67" s="9"/>
      <c r="K67" s="9"/>
      <c r="L67" s="23" t="s">
        <v>226</v>
      </c>
    </row>
    <row r="68" spans="1:12" x14ac:dyDescent="0.2">
      <c r="A68" s="435" t="s">
        <v>1053</v>
      </c>
      <c r="B68" s="435"/>
      <c r="C68" s="435"/>
      <c r="D68" s="435"/>
      <c r="E68" s="435"/>
      <c r="F68" s="435"/>
      <c r="G68" s="435"/>
      <c r="H68" s="435"/>
      <c r="I68" s="435"/>
      <c r="J68" s="435"/>
      <c r="K68" s="132"/>
    </row>
    <row r="69" spans="1:12" x14ac:dyDescent="0.2">
      <c r="A69" s="435"/>
      <c r="B69" s="435"/>
      <c r="C69" s="435"/>
      <c r="D69" s="435"/>
      <c r="E69" s="435"/>
      <c r="F69" s="435"/>
      <c r="G69" s="435"/>
      <c r="H69" s="435"/>
      <c r="I69" s="435"/>
      <c r="J69" s="435"/>
      <c r="K69" s="132"/>
    </row>
    <row r="70" spans="1:12" x14ac:dyDescent="0.2">
      <c r="A70" s="435"/>
      <c r="B70" s="435"/>
      <c r="C70" s="435"/>
      <c r="D70" s="435"/>
      <c r="E70" s="435"/>
      <c r="F70" s="435"/>
      <c r="G70" s="435"/>
      <c r="H70" s="435"/>
      <c r="I70" s="435"/>
      <c r="J70" s="435"/>
      <c r="K70" s="132"/>
    </row>
    <row r="71" spans="1:12" x14ac:dyDescent="0.2">
      <c r="A71" s="435"/>
      <c r="B71" s="435"/>
      <c r="C71" s="435"/>
      <c r="D71" s="435"/>
      <c r="E71" s="435"/>
      <c r="F71" s="435"/>
      <c r="G71" s="435"/>
      <c r="H71" s="435"/>
      <c r="I71" s="435"/>
      <c r="J71" s="435"/>
      <c r="K71" s="132"/>
    </row>
    <row r="72" spans="1:12" x14ac:dyDescent="0.2">
      <c r="A72" s="435"/>
      <c r="B72" s="435"/>
      <c r="C72" s="435"/>
      <c r="D72" s="435"/>
      <c r="E72" s="435"/>
      <c r="F72" s="435"/>
      <c r="G72" s="435"/>
      <c r="H72" s="435"/>
      <c r="I72" s="435"/>
      <c r="J72" s="435"/>
      <c r="K72" s="132"/>
    </row>
    <row r="73" spans="1:12" x14ac:dyDescent="0.2">
      <c r="A73" s="435"/>
      <c r="B73" s="435"/>
      <c r="C73" s="435"/>
      <c r="D73" s="435"/>
      <c r="E73" s="435"/>
      <c r="F73" s="435"/>
      <c r="G73" s="435"/>
      <c r="H73" s="435"/>
      <c r="I73" s="435"/>
      <c r="J73" s="435"/>
      <c r="K73" s="132"/>
    </row>
    <row r="74" spans="1:12" x14ac:dyDescent="0.2">
      <c r="A74" s="435"/>
      <c r="B74" s="435"/>
      <c r="C74" s="435"/>
      <c r="D74" s="435"/>
      <c r="E74" s="435"/>
      <c r="F74" s="435"/>
      <c r="G74" s="435"/>
      <c r="H74" s="435"/>
      <c r="I74" s="435"/>
      <c r="J74" s="435"/>
      <c r="K74" s="132"/>
    </row>
    <row r="75" spans="1:12" x14ac:dyDescent="0.2">
      <c r="A75" s="9"/>
      <c r="B75" s="9"/>
      <c r="C75" s="9"/>
      <c r="D75" s="9"/>
      <c r="E75" s="9"/>
      <c r="F75" s="9"/>
      <c r="G75" s="9"/>
      <c r="H75" s="9"/>
      <c r="I75" s="9"/>
      <c r="J75" s="9"/>
      <c r="K75" s="9"/>
    </row>
    <row r="76" spans="1:12" x14ac:dyDescent="0.2">
      <c r="A76" s="435" t="s">
        <v>553</v>
      </c>
      <c r="B76" s="435"/>
      <c r="C76" s="435"/>
      <c r="D76" s="435"/>
      <c r="E76" s="435"/>
      <c r="F76" s="435"/>
      <c r="G76" s="435"/>
      <c r="H76" s="435"/>
      <c r="I76" s="435"/>
      <c r="J76" s="435"/>
      <c r="K76" s="132"/>
    </row>
    <row r="77" spans="1:12" x14ac:dyDescent="0.2">
      <c r="A77" s="435"/>
      <c r="B77" s="435"/>
      <c r="C77" s="435"/>
      <c r="D77" s="435"/>
      <c r="E77" s="435"/>
      <c r="F77" s="435"/>
      <c r="G77" s="435"/>
      <c r="H77" s="435"/>
      <c r="I77" s="435"/>
      <c r="J77" s="435"/>
      <c r="K77" s="132"/>
    </row>
    <row r="78" spans="1:12" x14ac:dyDescent="0.2">
      <c r="A78" s="435"/>
      <c r="B78" s="435"/>
      <c r="C78" s="435"/>
      <c r="D78" s="435"/>
      <c r="E78" s="435"/>
      <c r="F78" s="435"/>
      <c r="G78" s="435"/>
      <c r="H78" s="435"/>
      <c r="I78" s="435"/>
      <c r="J78" s="435"/>
      <c r="K78" s="132"/>
    </row>
    <row r="79" spans="1:12" x14ac:dyDescent="0.2">
      <c r="A79" s="435"/>
      <c r="B79" s="435"/>
      <c r="C79" s="435"/>
      <c r="D79" s="435"/>
      <c r="E79" s="435"/>
      <c r="F79" s="435"/>
      <c r="G79" s="435"/>
      <c r="H79" s="435"/>
      <c r="I79" s="435"/>
      <c r="J79" s="435"/>
      <c r="K79" s="132"/>
    </row>
    <row r="80" spans="1:12" x14ac:dyDescent="0.2">
      <c r="A80" s="435"/>
      <c r="B80" s="435"/>
      <c r="C80" s="435"/>
      <c r="D80" s="435"/>
      <c r="E80" s="435"/>
      <c r="F80" s="435"/>
      <c r="G80" s="435"/>
      <c r="H80" s="435"/>
      <c r="I80" s="435"/>
      <c r="J80" s="435"/>
      <c r="K80" s="132"/>
    </row>
    <row r="81" spans="1:11" x14ac:dyDescent="0.2">
      <c r="A81" s="435"/>
      <c r="B81" s="435"/>
      <c r="C81" s="435"/>
      <c r="D81" s="435"/>
      <c r="E81" s="435"/>
      <c r="F81" s="435"/>
      <c r="G81" s="435"/>
      <c r="H81" s="435"/>
      <c r="I81" s="435"/>
      <c r="J81" s="435"/>
      <c r="K81" s="132"/>
    </row>
    <row r="82" spans="1:11" x14ac:dyDescent="0.2">
      <c r="A82" s="9"/>
      <c r="B82" s="9"/>
      <c r="C82" s="9"/>
      <c r="D82" s="9"/>
      <c r="E82" s="9"/>
      <c r="F82" s="9"/>
      <c r="G82" s="9"/>
      <c r="H82" s="9"/>
      <c r="I82" s="9"/>
      <c r="J82" s="9"/>
      <c r="K82" s="9"/>
    </row>
    <row r="83" spans="1:11" ht="13.9" customHeight="1" x14ac:dyDescent="0.2">
      <c r="A83" s="9"/>
      <c r="B83" s="9" t="s">
        <v>1032</v>
      </c>
      <c r="C83" s="9"/>
      <c r="D83" s="9"/>
      <c r="E83" s="9"/>
      <c r="F83" s="9"/>
      <c r="G83" s="9"/>
      <c r="H83" s="9"/>
      <c r="I83" s="9"/>
      <c r="J83" s="9"/>
      <c r="K83" s="9"/>
    </row>
    <row r="84" spans="1:11" ht="13.5" customHeight="1" thickBot="1" x14ac:dyDescent="0.25">
      <c r="A84" s="585" t="s">
        <v>1047</v>
      </c>
      <c r="B84" s="134" t="s">
        <v>227</v>
      </c>
      <c r="C84" s="31" t="s">
        <v>146</v>
      </c>
      <c r="D84" s="602" t="s">
        <v>1048</v>
      </c>
      <c r="E84" s="602"/>
      <c r="F84" s="602"/>
      <c r="G84" s="602"/>
      <c r="H84" s="602"/>
      <c r="I84" s="602"/>
      <c r="J84" s="602"/>
      <c r="K84" s="166"/>
    </row>
    <row r="85" spans="1:11" x14ac:dyDescent="0.2">
      <c r="A85" s="585"/>
      <c r="B85"/>
      <c r="C85" s="31"/>
      <c r="D85" s="602"/>
      <c r="E85" s="602"/>
      <c r="F85" s="602"/>
      <c r="G85" s="602"/>
      <c r="H85" s="602"/>
      <c r="I85" s="602"/>
      <c r="J85" s="602"/>
      <c r="K85" s="166"/>
    </row>
    <row r="86" spans="1:11" x14ac:dyDescent="0.2">
      <c r="A86" s="585"/>
      <c r="B86" s="9"/>
      <c r="C86" s="9"/>
      <c r="D86" s="602"/>
      <c r="E86" s="602"/>
      <c r="F86" s="602"/>
      <c r="G86" s="602"/>
      <c r="H86" s="602"/>
      <c r="I86" s="602"/>
      <c r="J86" s="602"/>
      <c r="K86" s="166"/>
    </row>
    <row r="87" spans="1:11" x14ac:dyDescent="0.2">
      <c r="A87" s="165"/>
      <c r="B87" s="9"/>
      <c r="C87" s="9"/>
      <c r="D87" s="166"/>
      <c r="E87" s="166"/>
      <c r="F87" s="166"/>
      <c r="G87" s="166"/>
      <c r="H87" s="166"/>
      <c r="I87" s="166"/>
      <c r="J87" s="166"/>
      <c r="K87" s="166"/>
    </row>
    <row r="88" spans="1:11" x14ac:dyDescent="0.2">
      <c r="A88" s="9"/>
      <c r="B88" s="9" t="s">
        <v>314</v>
      </c>
      <c r="C88" s="9"/>
      <c r="D88" s="597" t="s">
        <v>310</v>
      </c>
      <c r="E88" s="597"/>
      <c r="F88" s="597"/>
      <c r="G88" s="597"/>
      <c r="H88" s="9"/>
      <c r="I88" s="9"/>
      <c r="J88" s="9"/>
      <c r="K88" s="9"/>
    </row>
    <row r="89" spans="1:11" x14ac:dyDescent="0.2">
      <c r="A89" s="9"/>
      <c r="B89" s="9"/>
      <c r="C89" s="9"/>
      <c r="D89"/>
      <c r="E89"/>
      <c r="F89"/>
      <c r="G89"/>
      <c r="H89" s="9"/>
      <c r="I89" s="9"/>
      <c r="J89" s="9"/>
      <c r="K89" s="9"/>
    </row>
    <row r="90" spans="1:11" x14ac:dyDescent="0.2">
      <c r="A90" s="9"/>
      <c r="B90" s="9"/>
      <c r="C90" s="441" t="s">
        <v>283</v>
      </c>
      <c r="D90" s="441"/>
      <c r="E90" s="441"/>
      <c r="F90" s="441"/>
      <c r="G90" s="441"/>
      <c r="H90" s="441"/>
      <c r="I90" s="441"/>
      <c r="J90" s="9"/>
      <c r="K90" s="9"/>
    </row>
    <row r="91" spans="1:11" x14ac:dyDescent="0.2">
      <c r="A91" s="26" t="s">
        <v>1054</v>
      </c>
      <c r="B91" s="9"/>
      <c r="C91" s="244" t="s">
        <v>1055</v>
      </c>
      <c r="D91" s="28">
        <v>1</v>
      </c>
      <c r="E91" s="249">
        <v>2</v>
      </c>
      <c r="F91" s="28">
        <v>3</v>
      </c>
      <c r="G91" s="28">
        <v>4</v>
      </c>
      <c r="H91" s="28">
        <v>5</v>
      </c>
      <c r="I91" s="28">
        <v>6</v>
      </c>
      <c r="J91" s="9"/>
      <c r="K91" s="9"/>
    </row>
    <row r="92" spans="1:11" x14ac:dyDescent="0.2">
      <c r="A92" s="243">
        <v>0.8</v>
      </c>
      <c r="B92" s="26" t="s">
        <v>280</v>
      </c>
      <c r="C92" s="244" t="s">
        <v>806</v>
      </c>
      <c r="D92"/>
      <c r="E92"/>
      <c r="F92"/>
      <c r="G92"/>
      <c r="H92" s="9"/>
      <c r="I92" s="9"/>
      <c r="J92" s="9"/>
      <c r="K92" s="9"/>
    </row>
    <row r="93" spans="1:11" x14ac:dyDescent="0.2">
      <c r="A93" s="243"/>
      <c r="B93" s="63">
        <v>185000</v>
      </c>
      <c r="C93" s="248">
        <v>993.12</v>
      </c>
      <c r="D93" s="245">
        <v>0.41089999999999999</v>
      </c>
      <c r="E93" s="245">
        <v>0.35949999999999999</v>
      </c>
      <c r="F93" s="245">
        <v>0.31950000000000001</v>
      </c>
      <c r="G93" s="245">
        <v>0.28749999999999998</v>
      </c>
      <c r="H93" s="246">
        <v>0.26629999999999998</v>
      </c>
      <c r="I93" s="247">
        <v>0.24779999999999999</v>
      </c>
      <c r="J93" s="9"/>
      <c r="K93" s="9"/>
    </row>
    <row r="94" spans="1:11" x14ac:dyDescent="0.2">
      <c r="A94" s="9"/>
      <c r="B94" s="9"/>
      <c r="C94" s="9"/>
      <c r="D94" s="9"/>
      <c r="E94" s="9"/>
      <c r="F94" s="9"/>
      <c r="G94" s="9"/>
      <c r="H94" s="9"/>
      <c r="I94" s="9"/>
      <c r="J94" s="9"/>
      <c r="K94" s="9"/>
    </row>
    <row r="95" spans="1:11" x14ac:dyDescent="0.2">
      <c r="A95" s="435" t="s">
        <v>286</v>
      </c>
      <c r="B95" s="435"/>
      <c r="C95" s="435"/>
      <c r="D95" s="435"/>
      <c r="E95" s="435"/>
      <c r="F95" s="435"/>
      <c r="G95" s="435"/>
      <c r="H95" s="435"/>
      <c r="I95" s="435"/>
      <c r="J95" s="435"/>
      <c r="K95" s="132"/>
    </row>
    <row r="96" spans="1:11" x14ac:dyDescent="0.2">
      <c r="A96" s="435"/>
      <c r="B96" s="435"/>
      <c r="C96" s="435"/>
      <c r="D96" s="435"/>
      <c r="E96" s="435"/>
      <c r="F96" s="435"/>
      <c r="G96" s="435"/>
      <c r="H96" s="435"/>
      <c r="I96" s="435"/>
      <c r="J96" s="435"/>
      <c r="K96" s="132"/>
    </row>
    <row r="97" spans="1:11" x14ac:dyDescent="0.2">
      <c r="A97" s="9"/>
      <c r="B97" s="9"/>
      <c r="C97" s="9"/>
      <c r="D97" s="9"/>
      <c r="E97" s="9"/>
      <c r="F97" s="9"/>
      <c r="G97" s="9"/>
      <c r="H97" s="9"/>
      <c r="I97" s="9"/>
      <c r="J97" s="9"/>
      <c r="K97" s="9"/>
    </row>
    <row r="98" spans="1:11" ht="12.75" customHeight="1" x14ac:dyDescent="0.2">
      <c r="A98" s="9" t="s">
        <v>1031</v>
      </c>
      <c r="B98" s="594" t="s">
        <v>1051</v>
      </c>
      <c r="C98" s="594"/>
      <c r="D98" s="594"/>
      <c r="E98" s="594"/>
      <c r="F98" s="594"/>
      <c r="G98" s="594"/>
      <c r="H98" s="594"/>
      <c r="I98" s="594"/>
      <c r="J98" s="594"/>
      <c r="K98" s="76"/>
    </row>
    <row r="99" spans="1:11" x14ac:dyDescent="0.2">
      <c r="A99" s="9"/>
      <c r="B99" s="594"/>
      <c r="C99" s="594"/>
      <c r="D99" s="594"/>
      <c r="E99" s="594"/>
      <c r="F99" s="594"/>
      <c r="G99" s="594"/>
      <c r="H99" s="594"/>
      <c r="I99" s="594"/>
      <c r="J99" s="594"/>
      <c r="K99" s="76"/>
    </row>
    <row r="100" spans="1:11" x14ac:dyDescent="0.2">
      <c r="A100" s="9"/>
      <c r="B100" s="593" t="s">
        <v>1052</v>
      </c>
      <c r="C100" s="593"/>
      <c r="D100" s="593"/>
      <c r="E100" s="593"/>
      <c r="F100" s="9"/>
      <c r="G100" s="9"/>
      <c r="H100" s="9"/>
      <c r="I100" s="9"/>
      <c r="J100" s="9"/>
      <c r="K100" s="9"/>
    </row>
    <row r="101" spans="1:11" x14ac:dyDescent="0.2">
      <c r="A101" s="9"/>
      <c r="B101" s="9"/>
      <c r="C101" s="9"/>
      <c r="D101" s="9"/>
      <c r="E101" s="9"/>
      <c r="F101" s="9"/>
      <c r="G101" s="9"/>
      <c r="H101" s="9"/>
      <c r="I101" s="9"/>
      <c r="J101" s="9"/>
      <c r="K101" s="9"/>
    </row>
    <row r="102" spans="1:11" x14ac:dyDescent="0.2">
      <c r="A102" s="435" t="s">
        <v>290</v>
      </c>
      <c r="B102" s="435"/>
      <c r="C102" s="435"/>
      <c r="D102" s="435"/>
      <c r="E102" s="435"/>
      <c r="F102" s="435"/>
      <c r="G102" s="435"/>
      <c r="H102" s="435"/>
      <c r="I102" s="435"/>
      <c r="J102" s="435"/>
      <c r="K102" s="132"/>
    </row>
    <row r="103" spans="1:11" x14ac:dyDescent="0.2">
      <c r="A103" s="435"/>
      <c r="B103" s="435"/>
      <c r="C103" s="435"/>
      <c r="D103" s="435"/>
      <c r="E103" s="435"/>
      <c r="F103" s="435"/>
      <c r="G103" s="435"/>
      <c r="H103" s="435"/>
      <c r="I103" s="435"/>
      <c r="J103" s="435"/>
      <c r="K103" s="132"/>
    </row>
    <row r="104" spans="1:11" x14ac:dyDescent="0.2">
      <c r="A104" s="9"/>
      <c r="B104" s="9"/>
      <c r="C104" s="9"/>
      <c r="D104" s="9"/>
      <c r="E104" s="9"/>
      <c r="F104" s="9"/>
      <c r="G104" s="9"/>
      <c r="H104" s="9"/>
      <c r="I104" s="9"/>
      <c r="J104" s="9"/>
      <c r="K104" s="9"/>
    </row>
    <row r="105" spans="1:11" x14ac:dyDescent="0.2">
      <c r="A105" s="440" t="s">
        <v>1124</v>
      </c>
      <c r="B105" s="435"/>
      <c r="C105" s="435"/>
      <c r="D105" s="435"/>
      <c r="E105" s="435"/>
      <c r="F105" s="435"/>
      <c r="G105" s="435"/>
      <c r="H105" s="435"/>
      <c r="I105" s="435"/>
      <c r="J105" s="435"/>
      <c r="K105" s="132"/>
    </row>
    <row r="106" spans="1:11" x14ac:dyDescent="0.2">
      <c r="A106" s="435"/>
      <c r="B106" s="435"/>
      <c r="C106" s="435"/>
      <c r="D106" s="435"/>
      <c r="E106" s="435"/>
      <c r="F106" s="435"/>
      <c r="G106" s="435"/>
      <c r="H106" s="435"/>
      <c r="I106" s="435"/>
      <c r="J106" s="435"/>
      <c r="K106" s="132"/>
    </row>
    <row r="107" spans="1:11" x14ac:dyDescent="0.2">
      <c r="A107" s="132"/>
      <c r="B107" s="132"/>
      <c r="C107" s="132"/>
      <c r="D107" s="132"/>
      <c r="E107" s="132"/>
      <c r="F107" s="132"/>
      <c r="G107" s="132"/>
      <c r="H107" s="132"/>
      <c r="I107" s="132"/>
      <c r="J107" s="132"/>
      <c r="K107" s="132"/>
    </row>
    <row r="108" spans="1:11" x14ac:dyDescent="0.2">
      <c r="A108" s="441" t="s">
        <v>1060</v>
      </c>
      <c r="B108" s="441"/>
      <c r="C108" s="441"/>
      <c r="D108" s="441"/>
      <c r="E108" s="441"/>
      <c r="F108" s="441"/>
      <c r="G108" s="441"/>
      <c r="H108" s="441"/>
      <c r="I108" s="441"/>
      <c r="J108" s="441"/>
      <c r="K108" s="28"/>
    </row>
    <row r="109" spans="1:11" x14ac:dyDescent="0.2">
      <c r="A109" s="441" t="s">
        <v>1061</v>
      </c>
      <c r="B109" s="441"/>
      <c r="C109" s="441"/>
      <c r="D109" s="441"/>
      <c r="E109" s="441"/>
      <c r="F109" s="441"/>
      <c r="G109" s="441"/>
      <c r="H109" s="441"/>
      <c r="I109" s="441"/>
      <c r="J109" s="441"/>
      <c r="K109" s="28"/>
    </row>
    <row r="110" spans="1:11" x14ac:dyDescent="0.2">
      <c r="A110" s="441" t="s">
        <v>88</v>
      </c>
      <c r="B110" s="441"/>
      <c r="C110" s="441"/>
      <c r="D110" s="441"/>
      <c r="E110" s="441"/>
      <c r="F110" s="441"/>
      <c r="G110" s="441"/>
      <c r="H110" s="441"/>
      <c r="I110" s="441"/>
      <c r="J110" s="441"/>
      <c r="K110" s="28"/>
    </row>
    <row r="111" spans="1:11" x14ac:dyDescent="0.2">
      <c r="A111" s="26"/>
      <c r="B111" s="9"/>
      <c r="C111" s="9"/>
      <c r="D111" s="446" t="str">
        <f>IF($B$229="","",$B$229)</f>
        <v/>
      </c>
      <c r="E111" s="446"/>
      <c r="F111" s="446"/>
      <c r="G111" s="446"/>
      <c r="H111" s="9"/>
      <c r="I111" s="27"/>
      <c r="J111" s="9"/>
      <c r="K111" s="9"/>
    </row>
    <row r="112" spans="1:11" x14ac:dyDescent="0.2">
      <c r="A112" s="9"/>
      <c r="B112" s="9"/>
      <c r="C112" s="9"/>
      <c r="D112" s="443" t="s">
        <v>1143</v>
      </c>
      <c r="E112" s="443"/>
      <c r="F112" s="443"/>
      <c r="G112" s="443"/>
      <c r="H112" s="9"/>
      <c r="I112" s="9"/>
      <c r="J112" s="9"/>
      <c r="K112" s="9"/>
    </row>
    <row r="113" spans="1:11" x14ac:dyDescent="0.2">
      <c r="A113" s="443" t="s">
        <v>837</v>
      </c>
      <c r="B113" s="443"/>
      <c r="C113" s="443"/>
      <c r="D113" s="443"/>
      <c r="E113" s="443"/>
      <c r="F113" s="443"/>
      <c r="G113" s="443"/>
      <c r="H113" s="443"/>
      <c r="I113" s="443"/>
      <c r="J113" s="443"/>
      <c r="K113" s="235"/>
    </row>
    <row r="114" spans="1:11" x14ac:dyDescent="0.2">
      <c r="A114" s="603" t="s">
        <v>861</v>
      </c>
      <c r="B114" s="603"/>
      <c r="C114" s="603"/>
      <c r="D114" s="603"/>
      <c r="E114" s="603"/>
      <c r="F114" s="603"/>
      <c r="G114" s="603"/>
      <c r="H114" s="603"/>
      <c r="I114" s="603"/>
      <c r="J114" s="603"/>
      <c r="K114" s="240"/>
    </row>
    <row r="115" spans="1:11" x14ac:dyDescent="0.2">
      <c r="A115" s="603"/>
      <c r="B115" s="603"/>
      <c r="C115" s="603"/>
      <c r="D115" s="603"/>
      <c r="E115" s="603"/>
      <c r="F115" s="603"/>
      <c r="G115" s="603"/>
      <c r="H115" s="603"/>
      <c r="I115" s="603"/>
      <c r="J115" s="603"/>
      <c r="K115" s="240"/>
    </row>
    <row r="116" spans="1:11" x14ac:dyDescent="0.2">
      <c r="A116" s="603"/>
      <c r="B116" s="603"/>
      <c r="C116" s="603"/>
      <c r="D116" s="603"/>
      <c r="E116" s="603"/>
      <c r="F116" s="603"/>
      <c r="G116" s="603"/>
      <c r="H116" s="603"/>
      <c r="I116" s="603"/>
      <c r="J116" s="603"/>
      <c r="K116" s="240"/>
    </row>
    <row r="117" spans="1:11" x14ac:dyDescent="0.2">
      <c r="A117" s="603"/>
      <c r="B117" s="603"/>
      <c r="C117" s="603"/>
      <c r="D117" s="603"/>
      <c r="E117" s="603"/>
      <c r="F117" s="603"/>
      <c r="G117" s="603"/>
      <c r="H117" s="603"/>
      <c r="I117" s="603"/>
      <c r="J117" s="603"/>
      <c r="K117" s="240"/>
    </row>
    <row r="118" spans="1:11" x14ac:dyDescent="0.2">
      <c r="A118" s="9"/>
      <c r="B118" s="9"/>
      <c r="C118" s="9"/>
      <c r="D118" s="128"/>
      <c r="E118" s="128"/>
      <c r="F118" s="128"/>
      <c r="G118" s="128"/>
      <c r="H118" s="9"/>
      <c r="I118" s="9"/>
      <c r="J118" s="9"/>
      <c r="K118" s="9"/>
    </row>
    <row r="119" spans="1:11" x14ac:dyDescent="0.2">
      <c r="A119" s="435" t="s">
        <v>291</v>
      </c>
      <c r="B119" s="435"/>
      <c r="C119" s="435"/>
      <c r="D119" s="435"/>
      <c r="E119" s="435"/>
      <c r="F119" s="435"/>
      <c r="G119" s="435"/>
      <c r="H119" s="435"/>
      <c r="I119" s="435"/>
      <c r="J119" s="435"/>
      <c r="K119" s="132"/>
    </row>
    <row r="120" spans="1:11" x14ac:dyDescent="0.2">
      <c r="A120" s="435"/>
      <c r="B120" s="435"/>
      <c r="C120" s="435"/>
      <c r="D120" s="435"/>
      <c r="E120" s="435"/>
      <c r="F120" s="435"/>
      <c r="G120" s="435"/>
      <c r="H120" s="435"/>
      <c r="I120" s="435"/>
      <c r="J120" s="435"/>
      <c r="K120" s="132"/>
    </row>
    <row r="121" spans="1:11" x14ac:dyDescent="0.2">
      <c r="A121" s="435"/>
      <c r="B121" s="435"/>
      <c r="C121" s="435"/>
      <c r="D121" s="435"/>
      <c r="E121" s="435"/>
      <c r="F121" s="435"/>
      <c r="G121" s="435"/>
      <c r="H121" s="435"/>
      <c r="I121" s="435"/>
      <c r="J121" s="435"/>
      <c r="K121" s="132"/>
    </row>
    <row r="122" spans="1:11" x14ac:dyDescent="0.2">
      <c r="A122" s="435"/>
      <c r="B122" s="435"/>
      <c r="C122" s="435"/>
      <c r="D122" s="435"/>
      <c r="E122" s="435"/>
      <c r="F122" s="435"/>
      <c r="G122" s="435"/>
      <c r="H122" s="435"/>
      <c r="I122" s="435"/>
      <c r="J122" s="435"/>
      <c r="K122" s="132"/>
    </row>
    <row r="123" spans="1:11" x14ac:dyDescent="0.2">
      <c r="A123" s="435"/>
      <c r="B123" s="435"/>
      <c r="C123" s="435"/>
      <c r="D123" s="435"/>
      <c r="E123" s="435"/>
      <c r="F123" s="435"/>
      <c r="G123" s="435"/>
      <c r="H123" s="435"/>
      <c r="I123" s="435"/>
      <c r="J123" s="435"/>
      <c r="K123" s="132"/>
    </row>
    <row r="124" spans="1:11" x14ac:dyDescent="0.2">
      <c r="A124" s="132"/>
      <c r="B124" s="132"/>
      <c r="C124" s="132"/>
      <c r="D124" s="132"/>
      <c r="E124" s="132"/>
      <c r="F124" s="132"/>
      <c r="G124" s="132"/>
      <c r="H124" s="132"/>
      <c r="I124" s="132"/>
      <c r="J124" s="132"/>
      <c r="K124" s="132"/>
    </row>
    <row r="125" spans="1:11" ht="12.75" customHeight="1" x14ac:dyDescent="0.2">
      <c r="A125" s="435" t="s">
        <v>836</v>
      </c>
      <c r="B125" s="435"/>
      <c r="C125" s="435"/>
      <c r="D125" s="435"/>
      <c r="E125" s="435"/>
      <c r="F125" s="435"/>
      <c r="G125" s="435"/>
      <c r="H125" s="435"/>
      <c r="I125" s="435"/>
      <c r="J125" s="435"/>
      <c r="K125" s="132"/>
    </row>
    <row r="126" spans="1:11" x14ac:dyDescent="0.2">
      <c r="A126" s="435"/>
      <c r="B126" s="435"/>
      <c r="C126" s="435"/>
      <c r="D126" s="435"/>
      <c r="E126" s="435"/>
      <c r="F126" s="435"/>
      <c r="G126" s="435"/>
      <c r="H126" s="435"/>
      <c r="I126" s="435"/>
      <c r="J126" s="435"/>
      <c r="K126" s="132"/>
    </row>
    <row r="127" spans="1:11" x14ac:dyDescent="0.2">
      <c r="A127" s="435"/>
      <c r="B127" s="435"/>
      <c r="C127" s="435"/>
      <c r="D127" s="435"/>
      <c r="E127" s="435"/>
      <c r="F127" s="435"/>
      <c r="G127" s="435"/>
      <c r="H127" s="435"/>
      <c r="I127" s="435"/>
      <c r="J127" s="435"/>
      <c r="K127" s="132"/>
    </row>
    <row r="128" spans="1:11" x14ac:dyDescent="0.2">
      <c r="A128" s="435"/>
      <c r="B128" s="435"/>
      <c r="C128" s="435"/>
      <c r="D128" s="435"/>
      <c r="E128" s="435"/>
      <c r="F128" s="435"/>
      <c r="G128" s="435"/>
      <c r="H128" s="435"/>
      <c r="I128" s="435"/>
      <c r="J128" s="435"/>
      <c r="K128" s="132"/>
    </row>
    <row r="129" spans="1:11" x14ac:dyDescent="0.2">
      <c r="A129" s="9"/>
      <c r="B129" s="9"/>
      <c r="C129" s="9"/>
      <c r="D129" s="128"/>
      <c r="E129" s="128"/>
      <c r="F129" s="128"/>
      <c r="G129" s="128"/>
      <c r="H129" s="9"/>
      <c r="I129" s="9"/>
      <c r="J129" s="9"/>
      <c r="K129" s="9"/>
    </row>
    <row r="130" spans="1:11" x14ac:dyDescent="0.2">
      <c r="A130" s="440" t="s">
        <v>1129</v>
      </c>
      <c r="B130" s="435"/>
      <c r="C130" s="435"/>
      <c r="D130" s="435"/>
      <c r="E130" s="435"/>
      <c r="F130" s="435"/>
      <c r="G130" s="435"/>
      <c r="H130" s="435"/>
      <c r="I130" s="435"/>
      <c r="J130" s="435"/>
      <c r="K130" s="132"/>
    </row>
    <row r="131" spans="1:11" x14ac:dyDescent="0.2">
      <c r="A131" s="435"/>
      <c r="B131" s="435"/>
      <c r="C131" s="435"/>
      <c r="D131" s="435"/>
      <c r="E131" s="435"/>
      <c r="F131" s="435"/>
      <c r="G131" s="435"/>
      <c r="H131" s="435"/>
      <c r="I131" s="435"/>
      <c r="J131" s="435"/>
      <c r="K131" s="132"/>
    </row>
    <row r="132" spans="1:11" x14ac:dyDescent="0.2">
      <c r="A132" s="435"/>
      <c r="B132" s="435"/>
      <c r="C132" s="435"/>
      <c r="D132" s="435"/>
      <c r="E132" s="435"/>
      <c r="F132" s="435"/>
      <c r="G132" s="435"/>
      <c r="H132" s="435"/>
      <c r="I132" s="435"/>
      <c r="J132" s="435"/>
      <c r="K132" s="132"/>
    </row>
    <row r="133" spans="1:11" x14ac:dyDescent="0.2">
      <c r="A133" s="435"/>
      <c r="B133" s="435"/>
      <c r="C133" s="435"/>
      <c r="D133" s="435"/>
      <c r="E133" s="435"/>
      <c r="F133" s="435"/>
      <c r="G133" s="435"/>
      <c r="H133" s="435"/>
      <c r="I133" s="435"/>
      <c r="J133" s="435"/>
      <c r="K133" s="132"/>
    </row>
    <row r="134" spans="1:11" x14ac:dyDescent="0.2">
      <c r="A134" s="435"/>
      <c r="B134" s="435"/>
      <c r="C134" s="435"/>
      <c r="D134" s="435"/>
      <c r="E134" s="435"/>
      <c r="F134" s="435"/>
      <c r="G134" s="435"/>
      <c r="H134" s="435"/>
      <c r="I134" s="435"/>
      <c r="J134" s="435"/>
      <c r="K134" s="132"/>
    </row>
    <row r="135" spans="1:11" x14ac:dyDescent="0.2">
      <c r="A135" s="435"/>
      <c r="B135" s="435"/>
      <c r="C135" s="435"/>
      <c r="D135" s="435"/>
      <c r="E135" s="435"/>
      <c r="F135" s="435"/>
      <c r="G135" s="435"/>
      <c r="H135" s="435"/>
      <c r="I135" s="435"/>
      <c r="J135" s="435"/>
      <c r="K135" s="132"/>
    </row>
    <row r="136" spans="1:11" x14ac:dyDescent="0.2">
      <c r="A136" s="9"/>
      <c r="B136" s="9"/>
      <c r="C136" s="9"/>
      <c r="D136" s="128"/>
      <c r="E136" s="128"/>
      <c r="F136" s="128"/>
      <c r="G136" s="128"/>
      <c r="H136" s="9"/>
      <c r="I136" s="9"/>
      <c r="J136" s="9"/>
      <c r="K136" s="9"/>
    </row>
    <row r="137" spans="1:11" x14ac:dyDescent="0.2">
      <c r="A137" s="435" t="s">
        <v>865</v>
      </c>
      <c r="B137" s="435"/>
      <c r="C137" s="435"/>
      <c r="D137" s="435"/>
      <c r="E137" s="435"/>
      <c r="F137" s="435"/>
      <c r="G137" s="435"/>
      <c r="H137" s="435"/>
      <c r="I137" s="435"/>
      <c r="J137" s="435"/>
      <c r="K137" s="132"/>
    </row>
    <row r="138" spans="1:11" x14ac:dyDescent="0.2">
      <c r="A138" s="435"/>
      <c r="B138" s="435"/>
      <c r="C138" s="435"/>
      <c r="D138" s="435"/>
      <c r="E138" s="435"/>
      <c r="F138" s="435"/>
      <c r="G138" s="435"/>
      <c r="H138" s="435"/>
      <c r="I138" s="435"/>
      <c r="J138" s="435"/>
      <c r="K138" s="132"/>
    </row>
    <row r="139" spans="1:11" x14ac:dyDescent="0.2">
      <c r="A139" s="435"/>
      <c r="B139" s="435"/>
      <c r="C139" s="435"/>
      <c r="D139" s="435"/>
      <c r="E139" s="435"/>
      <c r="F139" s="435"/>
      <c r="G139" s="435"/>
      <c r="H139" s="435"/>
      <c r="I139" s="435"/>
      <c r="J139" s="435"/>
      <c r="K139" s="132"/>
    </row>
    <row r="140" spans="1:11" x14ac:dyDescent="0.2">
      <c r="A140" s="435"/>
      <c r="B140" s="435"/>
      <c r="C140" s="435"/>
      <c r="D140" s="435"/>
      <c r="E140" s="435"/>
      <c r="F140" s="435"/>
      <c r="G140" s="435"/>
      <c r="H140" s="435"/>
      <c r="I140" s="435"/>
      <c r="J140" s="435"/>
      <c r="K140" s="132"/>
    </row>
    <row r="141" spans="1:11" x14ac:dyDescent="0.2">
      <c r="A141" s="435"/>
      <c r="B141" s="435"/>
      <c r="C141" s="435"/>
      <c r="D141" s="435"/>
      <c r="E141" s="435"/>
      <c r="F141" s="435"/>
      <c r="G141" s="435"/>
      <c r="H141" s="435"/>
      <c r="I141" s="435"/>
      <c r="J141" s="435"/>
      <c r="K141" s="132"/>
    </row>
    <row r="142" spans="1:11" x14ac:dyDescent="0.2">
      <c r="A142" s="435"/>
      <c r="B142" s="435"/>
      <c r="C142" s="435"/>
      <c r="D142" s="435"/>
      <c r="E142" s="435"/>
      <c r="F142" s="435"/>
      <c r="G142" s="435"/>
      <c r="H142" s="435"/>
      <c r="I142" s="435"/>
      <c r="J142" s="435"/>
      <c r="K142" s="132"/>
    </row>
    <row r="143" spans="1:11" x14ac:dyDescent="0.2">
      <c r="A143" s="435"/>
      <c r="B143" s="435"/>
      <c r="C143" s="435"/>
      <c r="D143" s="435"/>
      <c r="E143" s="435"/>
      <c r="F143" s="435"/>
      <c r="G143" s="435"/>
      <c r="H143" s="435"/>
      <c r="I143" s="435"/>
      <c r="J143" s="435"/>
      <c r="K143" s="132"/>
    </row>
    <row r="144" spans="1:11" x14ac:dyDescent="0.2">
      <c r="A144" s="9"/>
      <c r="B144" s="9"/>
      <c r="C144" s="9"/>
      <c r="D144" s="128"/>
      <c r="E144" s="128"/>
      <c r="F144" s="128"/>
      <c r="G144" s="128"/>
      <c r="H144" s="9"/>
      <c r="I144" s="9"/>
      <c r="J144" s="9"/>
      <c r="K144" s="9"/>
    </row>
    <row r="145" spans="1:11" x14ac:dyDescent="0.2">
      <c r="A145" s="440" t="s">
        <v>1145</v>
      </c>
      <c r="B145" s="435"/>
      <c r="C145" s="435"/>
      <c r="D145" s="435"/>
      <c r="E145" s="435"/>
      <c r="F145" s="435"/>
      <c r="G145" s="435"/>
      <c r="H145" s="435"/>
      <c r="I145" s="435"/>
      <c r="J145" s="435"/>
      <c r="K145" s="132"/>
    </row>
    <row r="146" spans="1:11" x14ac:dyDescent="0.2">
      <c r="A146" s="435"/>
      <c r="B146" s="435"/>
      <c r="C146" s="435"/>
      <c r="D146" s="435"/>
      <c r="E146" s="435"/>
      <c r="F146" s="435"/>
      <c r="G146" s="435"/>
      <c r="H146" s="435"/>
      <c r="I146" s="435"/>
      <c r="J146" s="435"/>
      <c r="K146" s="132"/>
    </row>
    <row r="147" spans="1:11" x14ac:dyDescent="0.2">
      <c r="A147" s="435"/>
      <c r="B147" s="435"/>
      <c r="C147" s="435"/>
      <c r="D147" s="435"/>
      <c r="E147" s="435"/>
      <c r="F147" s="435"/>
      <c r="G147" s="435"/>
      <c r="H147" s="435"/>
      <c r="I147" s="435"/>
      <c r="J147" s="435"/>
      <c r="K147" s="132"/>
    </row>
    <row r="148" spans="1:11" x14ac:dyDescent="0.2">
      <c r="A148" s="435"/>
      <c r="B148" s="435"/>
      <c r="C148" s="435"/>
      <c r="D148" s="435"/>
      <c r="E148" s="435"/>
      <c r="F148" s="435"/>
      <c r="G148" s="435"/>
      <c r="H148" s="435"/>
      <c r="I148" s="435"/>
      <c r="J148" s="435"/>
      <c r="K148" s="132"/>
    </row>
    <row r="149" spans="1:11" x14ac:dyDescent="0.2">
      <c r="A149" s="435"/>
      <c r="B149" s="435"/>
      <c r="C149" s="435"/>
      <c r="D149" s="435"/>
      <c r="E149" s="435"/>
      <c r="F149" s="435"/>
      <c r="G149" s="435"/>
      <c r="H149" s="435"/>
      <c r="I149" s="435"/>
      <c r="J149" s="435"/>
      <c r="K149" s="132"/>
    </row>
    <row r="150" spans="1:11" x14ac:dyDescent="0.2">
      <c r="A150" s="132"/>
      <c r="B150" s="132"/>
      <c r="C150" s="132"/>
      <c r="D150" s="132"/>
      <c r="E150" s="132"/>
      <c r="F150" s="132"/>
      <c r="G150" s="132"/>
      <c r="H150" s="132"/>
      <c r="I150" s="132"/>
      <c r="J150" s="132"/>
      <c r="K150" s="132"/>
    </row>
    <row r="151" spans="1:11" ht="12.75" customHeight="1" x14ac:dyDescent="0.2">
      <c r="A151" s="596" t="s">
        <v>1130</v>
      </c>
      <c r="B151" s="594"/>
      <c r="C151" s="594"/>
      <c r="D151" s="594"/>
      <c r="E151" s="594"/>
      <c r="F151" s="594"/>
      <c r="G151" s="594"/>
      <c r="H151" s="594"/>
      <c r="I151" s="594"/>
      <c r="J151" s="594"/>
      <c r="K151" s="76"/>
    </row>
    <row r="152" spans="1:11" ht="12.75" customHeight="1" x14ac:dyDescent="0.2">
      <c r="A152" s="435" t="s">
        <v>1057</v>
      </c>
      <c r="B152" s="435"/>
      <c r="C152" s="435"/>
      <c r="D152" s="435"/>
      <c r="E152" s="435"/>
      <c r="F152" s="435"/>
      <c r="G152" s="435"/>
      <c r="H152" s="435"/>
      <c r="I152" s="435"/>
      <c r="J152" s="435"/>
      <c r="K152" s="132"/>
    </row>
    <row r="153" spans="1:11" ht="12.75" customHeight="1" x14ac:dyDescent="0.2">
      <c r="A153" s="435"/>
      <c r="B153" s="435"/>
      <c r="C153" s="435"/>
      <c r="D153" s="435"/>
      <c r="E153" s="435"/>
      <c r="F153" s="435"/>
      <c r="G153" s="435"/>
      <c r="H153" s="435"/>
      <c r="I153" s="435"/>
      <c r="J153" s="435"/>
      <c r="K153" s="132"/>
    </row>
    <row r="154" spans="1:11" ht="12.75" customHeight="1" x14ac:dyDescent="0.2">
      <c r="A154" s="435" t="s">
        <v>1056</v>
      </c>
      <c r="B154" s="435"/>
      <c r="C154" s="435"/>
      <c r="D154" s="435"/>
      <c r="E154" s="435"/>
      <c r="F154" s="435"/>
      <c r="G154" s="435"/>
      <c r="H154" s="435"/>
      <c r="I154" s="435"/>
      <c r="J154" s="435"/>
      <c r="K154" s="132"/>
    </row>
    <row r="155" spans="1:11" x14ac:dyDescent="0.2">
      <c r="A155" s="435"/>
      <c r="B155" s="435"/>
      <c r="C155" s="435"/>
      <c r="D155" s="435"/>
      <c r="E155" s="435"/>
      <c r="F155" s="435"/>
      <c r="G155" s="435"/>
      <c r="H155" s="435"/>
      <c r="I155" s="435"/>
      <c r="J155" s="435"/>
      <c r="K155" s="132"/>
    </row>
    <row r="156" spans="1:11" x14ac:dyDescent="0.2">
      <c r="A156" s="596" t="s">
        <v>1131</v>
      </c>
      <c r="B156" s="594"/>
      <c r="C156" s="594"/>
      <c r="D156" s="594"/>
      <c r="E156" s="594"/>
      <c r="F156" s="594"/>
      <c r="G156" s="594"/>
      <c r="H156" s="594"/>
      <c r="I156" s="594"/>
      <c r="J156" s="594"/>
      <c r="K156" s="383"/>
    </row>
    <row r="157" spans="1:11" x14ac:dyDescent="0.2">
      <c r="A157" s="9"/>
      <c r="B157" s="9"/>
      <c r="C157" s="9"/>
      <c r="D157" s="128"/>
      <c r="E157" s="128"/>
      <c r="F157" s="128"/>
      <c r="G157" s="128"/>
      <c r="H157" s="9"/>
      <c r="I157" s="9"/>
      <c r="J157" s="9"/>
      <c r="K157" s="9"/>
    </row>
    <row r="158" spans="1:11" x14ac:dyDescent="0.2">
      <c r="A158" s="441" t="s">
        <v>1060</v>
      </c>
      <c r="B158" s="441"/>
      <c r="C158" s="441"/>
      <c r="D158" s="441"/>
      <c r="E158" s="441"/>
      <c r="F158" s="441"/>
      <c r="G158" s="441"/>
      <c r="H158" s="441"/>
      <c r="I158" s="441"/>
      <c r="J158" s="441"/>
      <c r="K158" s="28"/>
    </row>
    <row r="159" spans="1:11" x14ac:dyDescent="0.2">
      <c r="A159" s="441" t="s">
        <v>1061</v>
      </c>
      <c r="B159" s="441"/>
      <c r="C159" s="441"/>
      <c r="D159" s="441"/>
      <c r="E159" s="441"/>
      <c r="F159" s="441"/>
      <c r="G159" s="441"/>
      <c r="H159" s="441"/>
      <c r="I159" s="441"/>
      <c r="J159" s="441"/>
      <c r="K159" s="28"/>
    </row>
    <row r="160" spans="1:11" x14ac:dyDescent="0.2">
      <c r="A160" s="441" t="s">
        <v>88</v>
      </c>
      <c r="B160" s="441"/>
      <c r="C160" s="441"/>
      <c r="D160" s="441"/>
      <c r="E160" s="441"/>
      <c r="F160" s="441"/>
      <c r="G160" s="441"/>
      <c r="H160" s="441"/>
      <c r="I160" s="441"/>
      <c r="J160" s="441"/>
      <c r="K160" s="28"/>
    </row>
    <row r="161" spans="1:18" x14ac:dyDescent="0.2">
      <c r="A161" s="26"/>
      <c r="B161" s="9"/>
      <c r="C161" s="9"/>
      <c r="D161" s="446" t="str">
        <f>IF($B$229="","",$B$229)</f>
        <v/>
      </c>
      <c r="E161" s="446"/>
      <c r="F161" s="446"/>
      <c r="G161" s="446"/>
      <c r="H161" s="9"/>
      <c r="I161" s="27"/>
      <c r="J161" s="9"/>
      <c r="K161" s="9"/>
    </row>
    <row r="162" spans="1:18" x14ac:dyDescent="0.2">
      <c r="A162" s="26"/>
      <c r="B162" s="9"/>
      <c r="C162" s="9"/>
      <c r="D162" s="443" t="s">
        <v>1143</v>
      </c>
      <c r="E162" s="443"/>
      <c r="F162" s="443"/>
      <c r="G162" s="443"/>
      <c r="H162" s="9"/>
      <c r="I162" s="27"/>
      <c r="J162" s="9"/>
      <c r="K162" s="9"/>
    </row>
    <row r="163" spans="1:18" x14ac:dyDescent="0.2">
      <c r="A163" s="443" t="s">
        <v>834</v>
      </c>
      <c r="B163" s="443"/>
      <c r="C163" s="443"/>
      <c r="D163" s="443"/>
      <c r="E163" s="443"/>
      <c r="F163" s="443"/>
      <c r="G163" s="443"/>
      <c r="H163" s="443"/>
      <c r="I163" s="443"/>
      <c r="J163" s="443"/>
      <c r="K163" s="235"/>
    </row>
    <row r="164" spans="1:18" x14ac:dyDescent="0.2">
      <c r="A164" s="9"/>
      <c r="B164" s="9"/>
      <c r="C164" s="9"/>
      <c r="D164" s="9"/>
      <c r="E164" s="9"/>
      <c r="F164" s="9"/>
      <c r="G164" s="9"/>
      <c r="H164" s="9"/>
      <c r="I164" s="9"/>
      <c r="J164" s="9"/>
      <c r="K164" s="9"/>
    </row>
    <row r="165" spans="1:18" x14ac:dyDescent="0.2">
      <c r="A165" s="576" t="s">
        <v>86</v>
      </c>
      <c r="B165" s="576"/>
      <c r="C165" s="576"/>
      <c r="D165" s="576"/>
      <c r="E165" s="576"/>
      <c r="F165" s="576"/>
      <c r="G165" s="576"/>
      <c r="H165" s="576"/>
      <c r="I165" s="576"/>
      <c r="J165" s="576"/>
      <c r="K165" s="30"/>
    </row>
    <row r="166" spans="1:18" x14ac:dyDescent="0.2">
      <c r="A166" s="576" t="s">
        <v>87</v>
      </c>
      <c r="B166" s="576"/>
      <c r="C166" s="576"/>
      <c r="D166" s="576"/>
      <c r="E166" s="576"/>
      <c r="F166" s="576"/>
      <c r="G166" s="576"/>
      <c r="H166" s="576"/>
      <c r="I166" s="576"/>
      <c r="J166" s="576"/>
      <c r="K166" s="30"/>
      <c r="N166" s="23" t="s">
        <v>233</v>
      </c>
      <c r="R166" s="23" t="s">
        <v>233</v>
      </c>
    </row>
    <row r="167" spans="1:18" x14ac:dyDescent="0.2">
      <c r="A167" s="35" t="s">
        <v>985</v>
      </c>
      <c r="B167" s="9"/>
      <c r="C167" s="9"/>
      <c r="D167" s="9"/>
      <c r="E167" s="9"/>
      <c r="F167" s="9"/>
      <c r="G167" s="9"/>
      <c r="H167" s="9"/>
      <c r="I167" s="9"/>
      <c r="J167" s="9"/>
      <c r="K167" s="9"/>
      <c r="N167" s="23" t="s">
        <v>1074</v>
      </c>
      <c r="R167" s="23" t="s">
        <v>300</v>
      </c>
    </row>
    <row r="168" spans="1:18" ht="13.5" thickBot="1" x14ac:dyDescent="0.25">
      <c r="A168" s="585" t="s">
        <v>153</v>
      </c>
      <c r="B168" s="135"/>
      <c r="C168" s="31" t="s">
        <v>89</v>
      </c>
      <c r="D168" s="435" t="s">
        <v>1042</v>
      </c>
      <c r="E168" s="435"/>
      <c r="F168" s="435"/>
      <c r="G168" s="435"/>
      <c r="H168" s="435"/>
      <c r="I168" s="435"/>
      <c r="J168" s="435"/>
      <c r="K168" s="132"/>
      <c r="L168" s="23" t="s">
        <v>170</v>
      </c>
      <c r="N168" s="23" t="s">
        <v>1070</v>
      </c>
      <c r="R168" s="23" t="s">
        <v>301</v>
      </c>
    </row>
    <row r="169" spans="1:18" x14ac:dyDescent="0.2">
      <c r="A169" s="585"/>
      <c r="B169" s="9"/>
      <c r="C169" s="9"/>
      <c r="D169" s="435"/>
      <c r="E169" s="435"/>
      <c r="F169" s="435"/>
      <c r="G169" s="435"/>
      <c r="H169" s="435"/>
      <c r="I169" s="435"/>
      <c r="J169" s="435"/>
      <c r="K169" s="132"/>
      <c r="L169" s="23" t="s">
        <v>171</v>
      </c>
      <c r="N169" s="23" t="s">
        <v>1071</v>
      </c>
      <c r="R169" s="23" t="s">
        <v>302</v>
      </c>
    </row>
    <row r="170" spans="1:18" x14ac:dyDescent="0.2">
      <c r="A170" s="9"/>
      <c r="B170" s="9"/>
      <c r="C170" s="9"/>
      <c r="D170" s="435"/>
      <c r="E170" s="435"/>
      <c r="F170" s="435"/>
      <c r="G170" s="435"/>
      <c r="H170" s="435"/>
      <c r="I170" s="435"/>
      <c r="J170" s="435"/>
      <c r="K170" s="132"/>
      <c r="N170" s="23" t="s">
        <v>1072</v>
      </c>
      <c r="R170" s="23" t="s">
        <v>303</v>
      </c>
    </row>
    <row r="171" spans="1:18" x14ac:dyDescent="0.2">
      <c r="A171" s="9"/>
      <c r="B171" s="9"/>
      <c r="C171" s="9"/>
      <c r="D171" s="435"/>
      <c r="E171" s="435"/>
      <c r="F171" s="435"/>
      <c r="G171" s="435"/>
      <c r="H171" s="435"/>
      <c r="I171" s="435"/>
      <c r="J171" s="435"/>
      <c r="K171" s="132"/>
      <c r="N171" s="23" t="s">
        <v>1073</v>
      </c>
      <c r="R171" s="23" t="s">
        <v>304</v>
      </c>
    </row>
    <row r="172" spans="1:18" ht="13.5" thickBot="1" x14ac:dyDescent="0.25">
      <c r="A172" s="585" t="s">
        <v>154</v>
      </c>
      <c r="B172" s="135"/>
      <c r="C172" s="31" t="s">
        <v>90</v>
      </c>
      <c r="D172" s="374" t="s">
        <v>1138</v>
      </c>
      <c r="E172" s="9"/>
      <c r="F172" s="9"/>
      <c r="G172" s="9"/>
      <c r="H172" s="9"/>
      <c r="I172" s="9"/>
      <c r="J172" s="9"/>
      <c r="K172" s="9"/>
    </row>
    <row r="173" spans="1:18" x14ac:dyDescent="0.2">
      <c r="A173" s="585"/>
      <c r="B173" s="9"/>
      <c r="C173" s="9"/>
      <c r="D173" s="36" t="s">
        <v>1069</v>
      </c>
      <c r="E173" s="9"/>
      <c r="F173" s="9"/>
      <c r="G173" s="9"/>
      <c r="H173" s="9"/>
      <c r="I173" s="9"/>
      <c r="J173" s="9"/>
      <c r="K173" s="9"/>
      <c r="R173" s="23" t="s">
        <v>315</v>
      </c>
    </row>
    <row r="174" spans="1:18" x14ac:dyDescent="0.2">
      <c r="A174" s="9"/>
      <c r="B174" s="9"/>
      <c r="C174" s="9"/>
      <c r="D174" s="36" t="s">
        <v>88</v>
      </c>
      <c r="E174" s="9"/>
      <c r="F174" s="9"/>
      <c r="G174" s="9"/>
      <c r="H174" s="9"/>
      <c r="I174" s="9"/>
      <c r="J174" s="9"/>
      <c r="K174" s="9"/>
      <c r="L174" s="23" t="s">
        <v>208</v>
      </c>
      <c r="M174" s="23" t="s">
        <v>225</v>
      </c>
      <c r="N174" s="23" t="s">
        <v>208</v>
      </c>
      <c r="O174" s="23" t="s">
        <v>208</v>
      </c>
      <c r="P174" s="23" t="s">
        <v>208</v>
      </c>
      <c r="R174" s="23" t="s">
        <v>310</v>
      </c>
    </row>
    <row r="175" spans="1:18" x14ac:dyDescent="0.2">
      <c r="A175" s="9"/>
      <c r="B175" s="9"/>
      <c r="C175" s="9"/>
      <c r="D175" s="36" t="s">
        <v>1127</v>
      </c>
      <c r="E175" s="9"/>
      <c r="F175" s="9"/>
      <c r="G175" s="9"/>
      <c r="H175" s="9"/>
      <c r="I175" s="9"/>
      <c r="J175" s="9"/>
      <c r="K175" s="9"/>
      <c r="L175" s="24" t="s">
        <v>180</v>
      </c>
      <c r="M175" s="24" t="s">
        <v>226</v>
      </c>
      <c r="N175" s="23">
        <v>1</v>
      </c>
      <c r="O175" s="23">
        <v>1</v>
      </c>
      <c r="P175" s="23">
        <v>1</v>
      </c>
      <c r="R175" s="23" t="s">
        <v>721</v>
      </c>
    </row>
    <row r="176" spans="1:18" x14ac:dyDescent="0.2">
      <c r="A176" s="9"/>
      <c r="B176" s="9"/>
      <c r="C176" s="9"/>
      <c r="D176" s="36" t="s">
        <v>1125</v>
      </c>
      <c r="E176" s="9"/>
      <c r="F176" s="9"/>
      <c r="G176" s="9"/>
      <c r="H176" s="9"/>
      <c r="I176" s="9"/>
      <c r="J176" s="9"/>
      <c r="K176" s="9"/>
      <c r="L176" s="24" t="s">
        <v>181</v>
      </c>
      <c r="M176" s="24" t="s">
        <v>226</v>
      </c>
      <c r="N176" s="23">
        <v>2</v>
      </c>
      <c r="O176" s="23">
        <v>2</v>
      </c>
      <c r="P176" s="23">
        <v>2</v>
      </c>
      <c r="R176" s="23" t="s">
        <v>311</v>
      </c>
    </row>
    <row r="177" spans="1:18" x14ac:dyDescent="0.2">
      <c r="A177" s="9"/>
      <c r="B177" s="9"/>
      <c r="C177" s="9"/>
      <c r="D177" s="36" t="s">
        <v>1126</v>
      </c>
      <c r="E177" s="9"/>
      <c r="F177" s="9"/>
      <c r="G177" s="9"/>
      <c r="H177" s="9"/>
      <c r="I177" s="9"/>
      <c r="J177" s="9"/>
      <c r="K177" s="9"/>
      <c r="L177" s="24" t="s">
        <v>182</v>
      </c>
      <c r="M177" s="24" t="s">
        <v>227</v>
      </c>
      <c r="N177" s="23">
        <v>3</v>
      </c>
      <c r="O177" s="23">
        <v>3</v>
      </c>
      <c r="P177" s="23">
        <v>3</v>
      </c>
      <c r="R177" s="23" t="s">
        <v>312</v>
      </c>
    </row>
    <row r="178" spans="1:18" ht="13.5" thickBot="1" x14ac:dyDescent="0.25">
      <c r="A178" s="585" t="s">
        <v>155</v>
      </c>
      <c r="B178" s="135"/>
      <c r="C178" s="31" t="s">
        <v>91</v>
      </c>
      <c r="D178" s="440" t="s">
        <v>1139</v>
      </c>
      <c r="E178" s="435"/>
      <c r="F178" s="435"/>
      <c r="G178" s="435"/>
      <c r="H178" s="435"/>
      <c r="I178" s="435"/>
      <c r="J178" s="435"/>
      <c r="K178" s="132"/>
      <c r="L178" s="24" t="s">
        <v>183</v>
      </c>
      <c r="M178" s="24" t="s">
        <v>226</v>
      </c>
      <c r="N178" s="23">
        <v>4</v>
      </c>
      <c r="P178" s="23">
        <v>4</v>
      </c>
      <c r="R178" s="23" t="s">
        <v>313</v>
      </c>
    </row>
    <row r="179" spans="1:18" x14ac:dyDescent="0.2">
      <c r="A179" s="585"/>
      <c r="B179" s="9"/>
      <c r="C179" s="31"/>
      <c r="D179" s="435"/>
      <c r="E179" s="435"/>
      <c r="F179" s="435"/>
      <c r="G179" s="435"/>
      <c r="H179" s="435"/>
      <c r="I179" s="435"/>
      <c r="J179" s="435"/>
      <c r="K179" s="132"/>
      <c r="L179" s="24" t="s">
        <v>184</v>
      </c>
      <c r="M179" s="24" t="s">
        <v>226</v>
      </c>
      <c r="N179" s="23">
        <v>5</v>
      </c>
      <c r="P179" s="23">
        <v>5</v>
      </c>
    </row>
    <row r="180" spans="1:18" ht="13.5" customHeight="1" thickBot="1" x14ac:dyDescent="0.25">
      <c r="A180" s="585" t="s">
        <v>156</v>
      </c>
      <c r="B180" s="135"/>
      <c r="C180" s="31" t="s">
        <v>92</v>
      </c>
      <c r="D180" s="435" t="s">
        <v>1044</v>
      </c>
      <c r="E180" s="435"/>
      <c r="F180" s="435"/>
      <c r="G180" s="435"/>
      <c r="H180" s="435"/>
      <c r="I180" s="435"/>
      <c r="J180" s="435"/>
      <c r="K180" s="132"/>
      <c r="L180" s="24" t="s">
        <v>185</v>
      </c>
      <c r="M180" s="24" t="s">
        <v>227</v>
      </c>
      <c r="N180" s="23">
        <v>6</v>
      </c>
      <c r="P180" s="23">
        <v>6</v>
      </c>
    </row>
    <row r="181" spans="1:18" x14ac:dyDescent="0.2">
      <c r="A181" s="585"/>
      <c r="B181" s="9"/>
      <c r="C181" s="9"/>
      <c r="D181" s="435"/>
      <c r="E181" s="435"/>
      <c r="F181" s="435"/>
      <c r="G181" s="435"/>
      <c r="H181" s="435"/>
      <c r="I181" s="435"/>
      <c r="J181" s="435"/>
      <c r="K181" s="132"/>
      <c r="L181" s="24" t="s">
        <v>186</v>
      </c>
      <c r="M181" s="24" t="s">
        <v>226</v>
      </c>
      <c r="N181" s="23">
        <v>7</v>
      </c>
      <c r="P181" s="23">
        <v>7</v>
      </c>
    </row>
    <row r="182" spans="1:18" ht="13.5" thickBot="1" x14ac:dyDescent="0.25">
      <c r="A182" s="585" t="s">
        <v>157</v>
      </c>
      <c r="B182" s="135"/>
      <c r="C182" s="31" t="s">
        <v>93</v>
      </c>
      <c r="D182" s="435" t="s">
        <v>1043</v>
      </c>
      <c r="E182" s="435"/>
      <c r="F182" s="435"/>
      <c r="G182" s="435"/>
      <c r="H182" s="435"/>
      <c r="I182" s="435"/>
      <c r="J182" s="435"/>
      <c r="K182" s="132"/>
      <c r="L182" s="24" t="s">
        <v>187</v>
      </c>
      <c r="M182" s="24" t="s">
        <v>226</v>
      </c>
      <c r="N182" s="23">
        <v>8</v>
      </c>
      <c r="P182" s="23">
        <v>8</v>
      </c>
    </row>
    <row r="183" spans="1:18" x14ac:dyDescent="0.2">
      <c r="A183" s="585"/>
      <c r="B183" s="9"/>
      <c r="C183" s="9"/>
      <c r="D183" s="435"/>
      <c r="E183" s="435"/>
      <c r="F183" s="435"/>
      <c r="G183" s="435"/>
      <c r="H183" s="435"/>
      <c r="I183" s="435"/>
      <c r="J183" s="435"/>
      <c r="K183" s="132"/>
      <c r="L183" s="24" t="s">
        <v>188</v>
      </c>
      <c r="M183" s="24" t="s">
        <v>226</v>
      </c>
      <c r="N183" s="23">
        <v>9</v>
      </c>
      <c r="P183" s="23">
        <v>9</v>
      </c>
    </row>
    <row r="184" spans="1:18" ht="13.5" thickBot="1" x14ac:dyDescent="0.25">
      <c r="A184" s="585" t="s">
        <v>158</v>
      </c>
      <c r="B184" s="135"/>
      <c r="C184" s="31" t="s">
        <v>109</v>
      </c>
      <c r="D184" s="435" t="s">
        <v>1045</v>
      </c>
      <c r="E184" s="435"/>
      <c r="F184" s="435"/>
      <c r="G184" s="435"/>
      <c r="H184" s="435"/>
      <c r="I184" s="435"/>
      <c r="J184" s="435"/>
      <c r="K184" s="132"/>
      <c r="L184" s="24" t="s">
        <v>189</v>
      </c>
      <c r="M184" s="24" t="s">
        <v>226</v>
      </c>
      <c r="N184" s="23">
        <v>10</v>
      </c>
      <c r="P184" s="23">
        <v>10</v>
      </c>
    </row>
    <row r="185" spans="1:18" x14ac:dyDescent="0.2">
      <c r="A185" s="585"/>
      <c r="B185" s="9"/>
      <c r="C185" s="9"/>
      <c r="D185" s="435"/>
      <c r="E185" s="435"/>
      <c r="F185" s="435"/>
      <c r="G185" s="435"/>
      <c r="H185" s="435"/>
      <c r="I185" s="435"/>
      <c r="J185" s="435"/>
      <c r="K185" s="132"/>
      <c r="L185" s="24" t="s">
        <v>190</v>
      </c>
      <c r="M185" s="24" t="s">
        <v>226</v>
      </c>
      <c r="N185" s="23">
        <v>11</v>
      </c>
      <c r="P185" s="23">
        <v>11</v>
      </c>
    </row>
    <row r="186" spans="1:18" x14ac:dyDescent="0.2">
      <c r="A186" s="585"/>
      <c r="B186" s="9"/>
      <c r="C186" s="9"/>
      <c r="D186" s="435"/>
      <c r="E186" s="435"/>
      <c r="F186" s="435"/>
      <c r="G186" s="435"/>
      <c r="H186" s="435"/>
      <c r="I186" s="435"/>
      <c r="J186" s="435"/>
      <c r="K186" s="132"/>
      <c r="L186" s="24" t="s">
        <v>191</v>
      </c>
      <c r="M186" s="24" t="s">
        <v>227</v>
      </c>
      <c r="N186" s="23">
        <v>12</v>
      </c>
      <c r="P186" s="23">
        <v>12</v>
      </c>
    </row>
    <row r="187" spans="1:18" x14ac:dyDescent="0.2">
      <c r="A187" s="9"/>
      <c r="B187" s="9"/>
      <c r="C187" s="9"/>
      <c r="D187" s="435"/>
      <c r="E187" s="435"/>
      <c r="F187" s="435"/>
      <c r="G187" s="435"/>
      <c r="H187" s="435"/>
      <c r="I187" s="435"/>
      <c r="J187" s="435"/>
      <c r="K187" s="132"/>
      <c r="L187" s="24" t="s">
        <v>192</v>
      </c>
      <c r="M187" s="24" t="s">
        <v>226</v>
      </c>
      <c r="N187" s="23">
        <v>13</v>
      </c>
      <c r="P187" s="23">
        <v>13</v>
      </c>
    </row>
    <row r="188" spans="1:18" ht="13.5" thickBot="1" x14ac:dyDescent="0.25">
      <c r="A188" s="585" t="s">
        <v>1047</v>
      </c>
      <c r="B188" s="135"/>
      <c r="C188" s="31" t="s">
        <v>146</v>
      </c>
      <c r="D188" s="435" t="s">
        <v>1048</v>
      </c>
      <c r="E188" s="435"/>
      <c r="F188" s="435"/>
      <c r="G188" s="435"/>
      <c r="H188" s="435"/>
      <c r="I188" s="435"/>
      <c r="J188" s="435"/>
      <c r="K188" s="132"/>
      <c r="L188" s="24" t="s">
        <v>193</v>
      </c>
      <c r="M188" s="24" t="s">
        <v>226</v>
      </c>
      <c r="N188" s="23">
        <v>14</v>
      </c>
      <c r="P188" s="23">
        <v>14</v>
      </c>
    </row>
    <row r="189" spans="1:18" x14ac:dyDescent="0.2">
      <c r="A189" s="585"/>
      <c r="B189"/>
      <c r="C189" s="31"/>
      <c r="D189" s="435"/>
      <c r="E189" s="435"/>
      <c r="F189" s="435"/>
      <c r="G189" s="435"/>
      <c r="H189" s="435"/>
      <c r="I189" s="435"/>
      <c r="J189" s="435"/>
      <c r="K189" s="132"/>
      <c r="L189" s="24" t="s">
        <v>194</v>
      </c>
      <c r="M189" s="24" t="s">
        <v>227</v>
      </c>
      <c r="N189" s="23">
        <v>15</v>
      </c>
      <c r="P189" s="23">
        <v>15</v>
      </c>
    </row>
    <row r="190" spans="1:18" x14ac:dyDescent="0.2">
      <c r="A190" s="585"/>
      <c r="B190" s="9"/>
      <c r="C190" s="9"/>
      <c r="D190" s="435"/>
      <c r="E190" s="435"/>
      <c r="F190" s="435"/>
      <c r="G190" s="435"/>
      <c r="H190" s="435"/>
      <c r="I190" s="435"/>
      <c r="J190" s="435"/>
      <c r="K190" s="132"/>
      <c r="L190" s="24" t="s">
        <v>195</v>
      </c>
      <c r="M190" s="24" t="s">
        <v>226</v>
      </c>
      <c r="N190" s="23">
        <v>16</v>
      </c>
      <c r="P190" s="23">
        <v>16</v>
      </c>
    </row>
    <row r="191" spans="1:18" ht="13.5" thickBot="1" x14ac:dyDescent="0.25">
      <c r="A191" s="585" t="s">
        <v>159</v>
      </c>
      <c r="B191" s="135"/>
      <c r="C191" s="31" t="s">
        <v>147</v>
      </c>
      <c r="D191" s="435" t="s">
        <v>1046</v>
      </c>
      <c r="E191" s="435"/>
      <c r="F191" s="435"/>
      <c r="G191" s="435"/>
      <c r="H191" s="435"/>
      <c r="I191" s="435"/>
      <c r="J191" s="435"/>
      <c r="K191" s="132"/>
      <c r="L191" s="24" t="s">
        <v>196</v>
      </c>
      <c r="M191" s="24" t="s">
        <v>226</v>
      </c>
      <c r="N191" s="23">
        <v>17</v>
      </c>
      <c r="P191" s="23">
        <v>17</v>
      </c>
    </row>
    <row r="192" spans="1:18" x14ac:dyDescent="0.2">
      <c r="A192" s="585"/>
      <c r="B192" s="9"/>
      <c r="C192" s="9"/>
      <c r="D192" s="435"/>
      <c r="E192" s="435"/>
      <c r="F192" s="435"/>
      <c r="G192" s="435"/>
      <c r="H192" s="435"/>
      <c r="I192" s="435"/>
      <c r="J192" s="435"/>
      <c r="K192" s="132"/>
      <c r="L192" s="24" t="s">
        <v>197</v>
      </c>
      <c r="M192" s="24" t="s">
        <v>227</v>
      </c>
      <c r="N192" s="23">
        <v>18</v>
      </c>
      <c r="P192" s="23">
        <v>18</v>
      </c>
    </row>
    <row r="193" spans="1:16" ht="13.5" thickBot="1" x14ac:dyDescent="0.25">
      <c r="A193" s="585" t="s">
        <v>160</v>
      </c>
      <c r="B193" s="135"/>
      <c r="C193" s="31" t="s">
        <v>148</v>
      </c>
      <c r="D193" s="435" t="s">
        <v>1064</v>
      </c>
      <c r="E193" s="435"/>
      <c r="F193" s="435"/>
      <c r="G193" s="435"/>
      <c r="H193" s="435"/>
      <c r="I193" s="435"/>
      <c r="J193" s="435"/>
      <c r="K193" s="132"/>
      <c r="L193" s="24" t="s">
        <v>198</v>
      </c>
      <c r="M193" s="24" t="s">
        <v>226</v>
      </c>
      <c r="N193" s="23">
        <v>19</v>
      </c>
      <c r="P193" s="23">
        <v>19</v>
      </c>
    </row>
    <row r="194" spans="1:16" x14ac:dyDescent="0.2">
      <c r="A194" s="585"/>
      <c r="B194" s="9"/>
      <c r="C194" s="9"/>
      <c r="D194" s="435"/>
      <c r="E194" s="435"/>
      <c r="F194" s="435"/>
      <c r="G194" s="435"/>
      <c r="H194" s="435"/>
      <c r="I194" s="435"/>
      <c r="J194" s="435"/>
      <c r="K194" s="132"/>
      <c r="L194" s="24" t="s">
        <v>199</v>
      </c>
      <c r="M194" s="24" t="s">
        <v>226</v>
      </c>
      <c r="N194" s="23">
        <v>20</v>
      </c>
      <c r="P194" s="23">
        <v>20</v>
      </c>
    </row>
    <row r="195" spans="1:16" x14ac:dyDescent="0.2">
      <c r="A195" s="9"/>
      <c r="B195" s="9"/>
      <c r="C195" s="9"/>
      <c r="D195" s="435"/>
      <c r="E195" s="435"/>
      <c r="F195" s="435"/>
      <c r="G195" s="435"/>
      <c r="H195" s="435"/>
      <c r="I195" s="435"/>
      <c r="J195" s="435"/>
      <c r="K195" s="132"/>
      <c r="L195" s="24" t="s">
        <v>200</v>
      </c>
      <c r="M195" s="24" t="s">
        <v>226</v>
      </c>
      <c r="N195" s="23">
        <v>21</v>
      </c>
      <c r="P195" s="23">
        <v>21</v>
      </c>
    </row>
    <row r="196" spans="1:16" ht="13.9" customHeight="1" thickBot="1" x14ac:dyDescent="0.25">
      <c r="A196" s="585" t="s">
        <v>161</v>
      </c>
      <c r="B196" s="135"/>
      <c r="C196" s="31" t="s">
        <v>149</v>
      </c>
      <c r="D196" s="581" t="s">
        <v>1049</v>
      </c>
      <c r="E196" s="581"/>
      <c r="F196" s="581"/>
      <c r="G196" s="581"/>
      <c r="H196" s="581"/>
      <c r="I196" s="581"/>
      <c r="J196" s="581"/>
      <c r="K196" s="236"/>
      <c r="L196" s="24" t="s">
        <v>201</v>
      </c>
      <c r="M196" s="24" t="s">
        <v>227</v>
      </c>
      <c r="N196" s="23">
        <v>22</v>
      </c>
      <c r="P196" s="23">
        <v>22</v>
      </c>
    </row>
    <row r="197" spans="1:16" x14ac:dyDescent="0.2">
      <c r="A197" s="585"/>
      <c r="B197" s="9"/>
      <c r="C197" s="9"/>
      <c r="D197" s="581"/>
      <c r="E197" s="581"/>
      <c r="F197" s="581"/>
      <c r="G197" s="581"/>
      <c r="H197" s="581"/>
      <c r="I197" s="581"/>
      <c r="J197" s="581"/>
      <c r="K197" s="236"/>
      <c r="L197" s="24" t="s">
        <v>202</v>
      </c>
      <c r="M197" s="24" t="s">
        <v>227</v>
      </c>
      <c r="N197" s="23">
        <v>23</v>
      </c>
      <c r="P197" s="23">
        <v>23</v>
      </c>
    </row>
    <row r="198" spans="1:16" x14ac:dyDescent="0.2">
      <c r="A198" s="9"/>
      <c r="B198" s="136"/>
      <c r="C198" s="9"/>
      <c r="D198" s="581"/>
      <c r="E198" s="581"/>
      <c r="F198" s="581"/>
      <c r="G198" s="581"/>
      <c r="H198" s="581"/>
      <c r="I198" s="581"/>
      <c r="J198" s="581"/>
      <c r="K198" s="236"/>
      <c r="L198" s="24" t="s">
        <v>203</v>
      </c>
      <c r="M198" s="24" t="s">
        <v>226</v>
      </c>
      <c r="N198" s="23">
        <v>24</v>
      </c>
      <c r="P198" s="23">
        <v>24</v>
      </c>
    </row>
    <row r="199" spans="1:16" ht="13.5" thickBot="1" x14ac:dyDescent="0.25">
      <c r="A199" s="585" t="s">
        <v>395</v>
      </c>
      <c r="B199" s="135"/>
      <c r="C199" s="31" t="s">
        <v>394</v>
      </c>
      <c r="D199" s="591" t="s">
        <v>292</v>
      </c>
      <c r="E199" s="591"/>
      <c r="F199" s="591"/>
      <c r="G199" s="591"/>
      <c r="H199" s="591"/>
      <c r="I199" s="591"/>
      <c r="J199" s="591"/>
      <c r="K199" s="237"/>
      <c r="L199" s="17" t="s">
        <v>177</v>
      </c>
      <c r="M199" s="17" t="s">
        <v>227</v>
      </c>
      <c r="N199" s="23">
        <v>25</v>
      </c>
      <c r="P199" s="23">
        <v>25</v>
      </c>
    </row>
    <row r="200" spans="1:16" x14ac:dyDescent="0.2">
      <c r="A200" s="585"/>
      <c r="B200" s="9"/>
      <c r="C200" s="31"/>
      <c r="D200" s="591"/>
      <c r="E200" s="591"/>
      <c r="F200" s="591"/>
      <c r="G200" s="591"/>
      <c r="H200" s="591"/>
      <c r="I200" s="591"/>
      <c r="J200" s="591"/>
      <c r="K200" s="237"/>
      <c r="L200" s="17" t="s">
        <v>204</v>
      </c>
      <c r="M200" s="17" t="s">
        <v>226</v>
      </c>
      <c r="N200" s="23">
        <v>26</v>
      </c>
      <c r="P200" s="23">
        <v>26</v>
      </c>
    </row>
    <row r="201" spans="1:16" ht="13.5" thickBot="1" x14ac:dyDescent="0.25">
      <c r="A201" s="586" t="s">
        <v>589</v>
      </c>
      <c r="B201" s="135"/>
      <c r="C201" s="31" t="s">
        <v>150</v>
      </c>
      <c r="D201" s="435" t="s">
        <v>588</v>
      </c>
      <c r="E201" s="435"/>
      <c r="F201" s="435"/>
      <c r="G201" s="435"/>
      <c r="H201" s="435"/>
      <c r="I201" s="435"/>
      <c r="J201" s="435"/>
      <c r="K201" s="132"/>
      <c r="L201" s="17" t="s">
        <v>205</v>
      </c>
      <c r="M201" s="17" t="s">
        <v>227</v>
      </c>
      <c r="N201" s="23">
        <v>27</v>
      </c>
      <c r="P201" s="23">
        <v>27</v>
      </c>
    </row>
    <row r="202" spans="1:16" x14ac:dyDescent="0.2">
      <c r="A202" s="586"/>
      <c r="B202" s="9"/>
      <c r="C202" s="9"/>
      <c r="D202" s="435"/>
      <c r="E202" s="435"/>
      <c r="F202" s="435"/>
      <c r="G202" s="435"/>
      <c r="H202" s="435"/>
      <c r="I202" s="435"/>
      <c r="J202" s="435"/>
      <c r="K202" s="132"/>
      <c r="L202" s="17" t="s">
        <v>206</v>
      </c>
      <c r="M202" s="17" t="s">
        <v>226</v>
      </c>
      <c r="N202" s="23">
        <v>28</v>
      </c>
      <c r="P202" s="23">
        <v>28</v>
      </c>
    </row>
    <row r="203" spans="1:16" ht="13.5" thickBot="1" x14ac:dyDescent="0.25">
      <c r="A203" s="585" t="s">
        <v>162</v>
      </c>
      <c r="B203" s="137"/>
      <c r="C203" s="31" t="s">
        <v>151</v>
      </c>
      <c r="D203" s="591" t="s">
        <v>152</v>
      </c>
      <c r="E203" s="591"/>
      <c r="F203" s="591"/>
      <c r="G203" s="591"/>
      <c r="H203" s="591"/>
      <c r="I203" s="591"/>
      <c r="J203" s="591"/>
      <c r="K203" s="237"/>
      <c r="L203" s="17" t="s">
        <v>207</v>
      </c>
      <c r="M203" s="17" t="s">
        <v>227</v>
      </c>
      <c r="N203" s="23">
        <v>29</v>
      </c>
      <c r="P203" s="23">
        <v>29</v>
      </c>
    </row>
    <row r="204" spans="1:16" ht="13.9" customHeight="1" x14ac:dyDescent="0.2">
      <c r="A204" s="585"/>
      <c r="B204" s="9"/>
      <c r="C204" s="9"/>
      <c r="D204" s="591"/>
      <c r="E204" s="591"/>
      <c r="F204" s="591"/>
      <c r="G204" s="591"/>
      <c r="H204" s="591"/>
      <c r="I204" s="591"/>
      <c r="J204" s="591"/>
      <c r="K204" s="237"/>
      <c r="P204" s="23">
        <v>30</v>
      </c>
    </row>
    <row r="205" spans="1:16" x14ac:dyDescent="0.2">
      <c r="A205" s="163"/>
      <c r="B205"/>
      <c r="C205" s="31"/>
      <c r="D205" s="167"/>
      <c r="E205" s="167"/>
      <c r="F205" s="167"/>
      <c r="G205" s="167"/>
      <c r="H205" s="167"/>
      <c r="I205" s="167"/>
      <c r="J205" s="167"/>
      <c r="K205" s="167"/>
      <c r="P205" s="23">
        <v>31</v>
      </c>
    </row>
    <row r="206" spans="1:16" x14ac:dyDescent="0.2">
      <c r="A206" s="163"/>
      <c r="B206" s="9"/>
      <c r="C206" s="9"/>
      <c r="D206" s="167"/>
      <c r="E206" s="167"/>
      <c r="F206" s="167"/>
      <c r="G206" s="167"/>
      <c r="H206" s="167"/>
      <c r="I206" s="167"/>
      <c r="J206" s="167"/>
      <c r="K206" s="167"/>
      <c r="P206" s="23">
        <v>32</v>
      </c>
    </row>
    <row r="207" spans="1:16" x14ac:dyDescent="0.2">
      <c r="A207" s="163"/>
      <c r="B207"/>
      <c r="C207" s="164"/>
      <c r="D207" s="162"/>
      <c r="E207" s="162"/>
      <c r="F207" s="162"/>
      <c r="G207" s="162"/>
      <c r="H207" s="162"/>
      <c r="I207" s="162"/>
      <c r="J207" s="162"/>
      <c r="K207" s="162"/>
      <c r="P207" s="23">
        <v>33</v>
      </c>
    </row>
    <row r="208" spans="1:16" x14ac:dyDescent="0.2">
      <c r="A208" s="163"/>
      <c r="B208"/>
      <c r="C208" s="164"/>
      <c r="D208" s="162"/>
      <c r="E208" s="162"/>
      <c r="F208" s="162"/>
      <c r="G208" s="162"/>
      <c r="H208" s="162"/>
      <c r="I208" s="162"/>
      <c r="J208" s="162"/>
      <c r="K208" s="162"/>
      <c r="P208" s="23">
        <v>34</v>
      </c>
    </row>
    <row r="209" spans="1:16" x14ac:dyDescent="0.2">
      <c r="A209" s="163"/>
      <c r="B209"/>
      <c r="C209" s="9"/>
      <c r="D209" s="162"/>
      <c r="E209" s="162"/>
      <c r="F209" s="162"/>
      <c r="G209" s="162"/>
      <c r="H209" s="162"/>
      <c r="I209" s="162"/>
      <c r="J209" s="162"/>
      <c r="K209" s="162"/>
      <c r="P209" s="23">
        <v>35</v>
      </c>
    </row>
    <row r="210" spans="1:16" x14ac:dyDescent="0.2">
      <c r="A210" s="163"/>
      <c r="B210"/>
      <c r="C210" s="164"/>
      <c r="D210" s="133"/>
      <c r="E210" s="133"/>
      <c r="F210" s="133"/>
      <c r="G210" s="133"/>
      <c r="H210" s="133"/>
      <c r="I210" s="133"/>
      <c r="J210" s="133"/>
      <c r="K210" s="133"/>
      <c r="P210" s="23">
        <v>36</v>
      </c>
    </row>
    <row r="211" spans="1:16" x14ac:dyDescent="0.2">
      <c r="A211" s="441" t="s">
        <v>1060</v>
      </c>
      <c r="B211" s="441"/>
      <c r="C211" s="441"/>
      <c r="D211" s="441"/>
      <c r="E211" s="441"/>
      <c r="F211" s="441"/>
      <c r="G211" s="441"/>
      <c r="H211" s="441"/>
      <c r="I211" s="441"/>
      <c r="J211" s="441"/>
      <c r="K211" s="28"/>
      <c r="P211" s="23">
        <v>37</v>
      </c>
    </row>
    <row r="212" spans="1:16" x14ac:dyDescent="0.2">
      <c r="A212" s="441" t="s">
        <v>1061</v>
      </c>
      <c r="B212" s="441"/>
      <c r="C212" s="441"/>
      <c r="D212" s="441"/>
      <c r="E212" s="441"/>
      <c r="F212" s="441"/>
      <c r="G212" s="441"/>
      <c r="H212" s="441"/>
      <c r="I212" s="441"/>
      <c r="J212" s="441"/>
      <c r="K212" s="28"/>
      <c r="P212" s="23">
        <v>38</v>
      </c>
    </row>
    <row r="213" spans="1:16" x14ac:dyDescent="0.2">
      <c r="A213" s="441" t="s">
        <v>88</v>
      </c>
      <c r="B213" s="441"/>
      <c r="C213" s="441"/>
      <c r="D213" s="441"/>
      <c r="E213" s="441"/>
      <c r="F213" s="441"/>
      <c r="G213" s="441"/>
      <c r="H213" s="441"/>
      <c r="I213" s="441"/>
      <c r="J213" s="441"/>
      <c r="K213" s="28"/>
      <c r="P213" s="23">
        <v>39</v>
      </c>
    </row>
    <row r="214" spans="1:16" x14ac:dyDescent="0.2">
      <c r="A214" s="26"/>
      <c r="B214" s="9"/>
      <c r="C214" s="9"/>
      <c r="D214" s="446" t="str">
        <f>IF($B$229="","",$B$229)</f>
        <v/>
      </c>
      <c r="E214" s="446"/>
      <c r="F214" s="446"/>
      <c r="G214" s="446"/>
      <c r="H214" s="9"/>
      <c r="I214" s="27"/>
      <c r="J214" s="9"/>
      <c r="K214" s="9"/>
      <c r="L214" s="23" t="s">
        <v>318</v>
      </c>
      <c r="N214" s="23" t="s">
        <v>315</v>
      </c>
      <c r="P214" s="23">
        <v>40</v>
      </c>
    </row>
    <row r="215" spans="1:16" x14ac:dyDescent="0.2">
      <c r="A215" s="9"/>
      <c r="B215" s="9"/>
      <c r="C215" s="9"/>
      <c r="D215" s="443" t="s">
        <v>1143</v>
      </c>
      <c r="E215" s="443"/>
      <c r="F215" s="443"/>
      <c r="G215" s="443"/>
      <c r="H215" s="9"/>
      <c r="I215" s="9"/>
      <c r="J215" s="9"/>
      <c r="K215" s="9"/>
      <c r="L215" s="23" t="s">
        <v>319</v>
      </c>
      <c r="N215" s="23" t="s">
        <v>326</v>
      </c>
      <c r="P215" s="23">
        <v>41</v>
      </c>
    </row>
    <row r="216" spans="1:16" x14ac:dyDescent="0.2">
      <c r="A216" s="443" t="s">
        <v>309</v>
      </c>
      <c r="B216" s="443"/>
      <c r="C216" s="443"/>
      <c r="D216" s="443"/>
      <c r="E216" s="443"/>
      <c r="F216" s="443"/>
      <c r="G216" s="443"/>
      <c r="H216" s="443"/>
      <c r="I216" s="443"/>
      <c r="J216" s="443"/>
      <c r="K216" s="235"/>
      <c r="L216" s="23" t="s">
        <v>320</v>
      </c>
      <c r="N216" s="23" t="s">
        <v>327</v>
      </c>
      <c r="P216" s="23">
        <v>42</v>
      </c>
    </row>
    <row r="217" spans="1:16" x14ac:dyDescent="0.2">
      <c r="A217" s="36" t="s">
        <v>1063</v>
      </c>
      <c r="B217" s="9"/>
      <c r="C217" s="9"/>
      <c r="D217" s="9"/>
      <c r="E217" s="9"/>
      <c r="F217" s="9"/>
      <c r="G217" s="9"/>
      <c r="H217" s="9"/>
      <c r="I217" s="9"/>
      <c r="J217" s="9"/>
      <c r="K217" s="9"/>
      <c r="L217" s="23" t="s">
        <v>321</v>
      </c>
      <c r="N217" s="23" t="s">
        <v>328</v>
      </c>
      <c r="P217" s="23">
        <v>43</v>
      </c>
    </row>
    <row r="218" spans="1:16" x14ac:dyDescent="0.2">
      <c r="A218" s="9" t="s">
        <v>164</v>
      </c>
      <c r="B218" s="9"/>
      <c r="C218" s="34" t="s">
        <v>165</v>
      </c>
      <c r="D218" s="573"/>
      <c r="E218" s="573"/>
      <c r="F218" s="9"/>
      <c r="G218" s="9"/>
      <c r="H218" s="9"/>
      <c r="I218" s="9"/>
      <c r="J218" s="9"/>
      <c r="K218" s="9"/>
      <c r="N218" s="23" t="s">
        <v>329</v>
      </c>
      <c r="P218" s="23">
        <v>44</v>
      </c>
    </row>
    <row r="219" spans="1:16" x14ac:dyDescent="0.2">
      <c r="A219" s="9"/>
      <c r="B219" s="9"/>
      <c r="C219" s="34" t="s">
        <v>166</v>
      </c>
      <c r="D219" s="584"/>
      <c r="E219" s="584"/>
      <c r="F219" s="9"/>
      <c r="G219" s="9"/>
      <c r="H219" s="9"/>
      <c r="I219" s="9"/>
      <c r="J219" s="9"/>
      <c r="K219" s="9"/>
      <c r="N219" s="23" t="s">
        <v>330</v>
      </c>
      <c r="P219" s="23">
        <v>45</v>
      </c>
    </row>
    <row r="220" spans="1:16" x14ac:dyDescent="0.2">
      <c r="A220" s="9"/>
      <c r="B220" s="9"/>
      <c r="C220" s="34" t="s">
        <v>167</v>
      </c>
      <c r="D220" s="584"/>
      <c r="E220" s="584"/>
      <c r="F220" s="9"/>
      <c r="G220" s="9"/>
      <c r="H220" s="9"/>
      <c r="I220" s="9"/>
      <c r="J220" s="9"/>
      <c r="K220" s="9"/>
      <c r="N220" s="23" t="s">
        <v>331</v>
      </c>
      <c r="P220" s="23">
        <v>46</v>
      </c>
    </row>
    <row r="221" spans="1:16" x14ac:dyDescent="0.2">
      <c r="A221" s="9"/>
      <c r="B221" s="9"/>
      <c r="C221" s="9"/>
      <c r="D221" s="9"/>
      <c r="E221" s="9"/>
      <c r="F221" s="9"/>
      <c r="G221" s="9"/>
      <c r="H221" s="9"/>
      <c r="I221" s="9"/>
      <c r="J221" s="9"/>
      <c r="K221" s="9"/>
      <c r="P221" s="23">
        <v>47</v>
      </c>
    </row>
    <row r="222" spans="1:16" x14ac:dyDescent="0.2">
      <c r="A222" s="441" t="s">
        <v>209</v>
      </c>
      <c r="B222" s="441"/>
      <c r="C222" s="441"/>
      <c r="D222" s="441"/>
      <c r="E222" s="441"/>
      <c r="F222" s="441"/>
      <c r="G222" s="441"/>
      <c r="H222" s="441"/>
      <c r="I222" s="441"/>
      <c r="J222" s="441"/>
      <c r="K222" s="28"/>
      <c r="P222" s="23">
        <v>48</v>
      </c>
    </row>
    <row r="223" spans="1:16" x14ac:dyDescent="0.2">
      <c r="A223" s="9"/>
      <c r="B223" s="9"/>
      <c r="C223" s="9"/>
      <c r="D223" s="9"/>
      <c r="E223" s="9"/>
      <c r="F223" s="9"/>
      <c r="G223" s="9"/>
      <c r="H223" s="9"/>
      <c r="I223" s="9"/>
      <c r="J223" s="9"/>
      <c r="K223" s="9"/>
      <c r="P223" s="23">
        <v>49</v>
      </c>
    </row>
    <row r="224" spans="1:16" x14ac:dyDescent="0.2">
      <c r="A224" s="33" t="s">
        <v>168</v>
      </c>
      <c r="B224" s="9"/>
      <c r="C224" s="575"/>
      <c r="D224" s="575"/>
      <c r="E224" s="9"/>
      <c r="F224" s="9"/>
      <c r="G224" s="9"/>
      <c r="H224" s="9"/>
      <c r="I224" s="9"/>
      <c r="J224" s="9"/>
      <c r="K224" s="9"/>
      <c r="P224" s="23">
        <v>50</v>
      </c>
    </row>
    <row r="225" spans="1:16" x14ac:dyDescent="0.2">
      <c r="A225" s="9"/>
      <c r="B225" s="9"/>
      <c r="C225" s="9"/>
      <c r="D225" s="9"/>
      <c r="E225" s="9"/>
      <c r="F225" s="9"/>
      <c r="G225" s="9"/>
      <c r="H225" s="9"/>
      <c r="I225" s="9"/>
      <c r="J225" s="9"/>
      <c r="K225" s="9"/>
      <c r="P225" s="23">
        <v>51</v>
      </c>
    </row>
    <row r="226" spans="1:16" x14ac:dyDescent="0.2">
      <c r="A226" s="33" t="s">
        <v>169</v>
      </c>
      <c r="B226" s="9"/>
      <c r="C226" s="439"/>
      <c r="D226" s="439"/>
      <c r="E226" s="576" t="s">
        <v>210</v>
      </c>
      <c r="F226" s="576"/>
      <c r="G226" s="576"/>
      <c r="H226" s="576"/>
      <c r="I226" s="575"/>
      <c r="J226" s="575"/>
      <c r="K226" s="294"/>
      <c r="P226" s="23">
        <v>52</v>
      </c>
    </row>
    <row r="227" spans="1:16" x14ac:dyDescent="0.2">
      <c r="A227" s="9"/>
      <c r="B227" s="9"/>
      <c r="C227" s="9"/>
      <c r="D227" s="9"/>
      <c r="E227" s="9"/>
      <c r="F227" s="9"/>
      <c r="G227" s="9"/>
      <c r="H227" s="9"/>
      <c r="I227" s="9"/>
      <c r="J227" s="9"/>
      <c r="K227" s="9"/>
      <c r="P227" s="23">
        <v>53</v>
      </c>
    </row>
    <row r="228" spans="1:16" x14ac:dyDescent="0.2">
      <c r="A228" s="33" t="s">
        <v>172</v>
      </c>
      <c r="B228" s="9"/>
      <c r="C228" s="9"/>
      <c r="D228" s="9"/>
      <c r="E228" s="9"/>
      <c r="F228" s="9"/>
      <c r="G228" s="9"/>
      <c r="H228" s="9"/>
      <c r="I228" s="9"/>
      <c r="J228" s="9"/>
      <c r="K228" s="9"/>
      <c r="P228" s="23">
        <v>54</v>
      </c>
    </row>
    <row r="229" spans="1:16" x14ac:dyDescent="0.2">
      <c r="A229" s="9" t="s">
        <v>173</v>
      </c>
      <c r="B229" s="437"/>
      <c r="C229" s="437"/>
      <c r="D229" s="437"/>
      <c r="E229" s="437"/>
      <c r="F229" s="437"/>
      <c r="G229" s="9"/>
      <c r="H229" s="9"/>
      <c r="I229" s="9"/>
      <c r="J229" s="9"/>
      <c r="K229" s="9"/>
      <c r="P229" s="23">
        <v>55</v>
      </c>
    </row>
    <row r="230" spans="1:16" x14ac:dyDescent="0.2">
      <c r="A230" s="9"/>
      <c r="B230" s="37"/>
      <c r="C230" s="37"/>
      <c r="D230" s="37"/>
      <c r="E230" s="37"/>
      <c r="F230" s="37"/>
      <c r="G230" s="9"/>
      <c r="H230" s="9"/>
      <c r="I230" s="9"/>
      <c r="J230" s="9"/>
      <c r="K230" s="9"/>
      <c r="P230" s="23">
        <v>56</v>
      </c>
    </row>
    <row r="231" spans="1:16" x14ac:dyDescent="0.2">
      <c r="A231" s="9" t="s">
        <v>174</v>
      </c>
      <c r="B231" s="437"/>
      <c r="C231" s="437"/>
      <c r="D231" s="437"/>
      <c r="E231" s="437"/>
      <c r="F231" s="437"/>
      <c r="G231" s="9"/>
      <c r="H231" s="9"/>
      <c r="I231" s="9"/>
      <c r="J231" s="9"/>
      <c r="K231" s="9"/>
      <c r="P231" s="23">
        <v>57</v>
      </c>
    </row>
    <row r="232" spans="1:16" x14ac:dyDescent="0.2">
      <c r="A232" s="17"/>
      <c r="B232" s="37"/>
      <c r="C232" s="37"/>
      <c r="D232" s="37"/>
      <c r="E232" s="37"/>
      <c r="F232" s="37"/>
      <c r="G232" s="17"/>
      <c r="H232" s="17"/>
      <c r="I232" s="17"/>
      <c r="J232" s="17"/>
      <c r="K232" s="17"/>
      <c r="P232" s="23">
        <v>58</v>
      </c>
    </row>
    <row r="233" spans="1:16" x14ac:dyDescent="0.2">
      <c r="A233" s="9" t="s">
        <v>175</v>
      </c>
      <c r="B233" s="437"/>
      <c r="C233" s="437"/>
      <c r="D233" s="437"/>
      <c r="E233" s="29" t="s">
        <v>176</v>
      </c>
      <c r="F233" s="32" t="s">
        <v>177</v>
      </c>
      <c r="G233" s="29" t="s">
        <v>178</v>
      </c>
      <c r="H233" s="138"/>
      <c r="I233" s="9"/>
      <c r="J233" s="9"/>
      <c r="K233" s="9"/>
      <c r="P233" s="23">
        <v>59</v>
      </c>
    </row>
    <row r="234" spans="1:16" x14ac:dyDescent="0.2">
      <c r="A234" s="17"/>
      <c r="B234" s="37"/>
      <c r="C234" s="37"/>
      <c r="D234" s="37"/>
      <c r="E234" s="38"/>
      <c r="F234" s="39"/>
      <c r="G234" s="38"/>
      <c r="H234" s="39"/>
      <c r="I234" s="17"/>
      <c r="J234" s="17"/>
      <c r="K234" s="17"/>
      <c r="P234" s="23">
        <v>60</v>
      </c>
    </row>
    <row r="235" spans="1:16" x14ac:dyDescent="0.2">
      <c r="A235" s="9" t="s">
        <v>179</v>
      </c>
      <c r="B235" s="439"/>
      <c r="C235" s="439"/>
      <c r="D235" s="9"/>
      <c r="E235" s="9" t="s">
        <v>212</v>
      </c>
      <c r="F235" s="9"/>
      <c r="G235" s="595"/>
      <c r="H235" s="595"/>
      <c r="I235" s="9"/>
      <c r="J235" s="9"/>
      <c r="K235" s="9"/>
      <c r="P235" s="23">
        <v>61</v>
      </c>
    </row>
    <row r="236" spans="1:16" x14ac:dyDescent="0.2">
      <c r="A236" s="9"/>
      <c r="B236" s="9"/>
      <c r="C236" s="9"/>
      <c r="D236" s="26" t="s">
        <v>214</v>
      </c>
      <c r="E236" s="26"/>
      <c r="F236" s="9"/>
      <c r="G236" s="26"/>
      <c r="H236" s="9"/>
      <c r="I236" s="574" t="s">
        <v>213</v>
      </c>
      <c r="J236" s="574"/>
      <c r="K236" s="241"/>
      <c r="P236" s="23">
        <v>62</v>
      </c>
    </row>
    <row r="237" spans="1:16" x14ac:dyDescent="0.2">
      <c r="A237" s="9" t="s">
        <v>215</v>
      </c>
      <c r="B237" s="9"/>
      <c r="C237" s="9"/>
      <c r="D237" s="9"/>
      <c r="E237" s="9"/>
      <c r="F237" s="9"/>
      <c r="G237" s="40" t="s">
        <v>226</v>
      </c>
      <c r="H237" s="26" t="s">
        <v>306</v>
      </c>
      <c r="I237" s="9"/>
      <c r="J237" s="9"/>
      <c r="K237" s="9"/>
      <c r="P237" s="23">
        <v>63</v>
      </c>
    </row>
    <row r="238" spans="1:16" x14ac:dyDescent="0.2">
      <c r="A238" s="9"/>
      <c r="B238" s="9"/>
      <c r="C238" s="9"/>
      <c r="D238" s="9"/>
      <c r="E238" s="9"/>
      <c r="F238" s="9"/>
      <c r="G238" s="9"/>
      <c r="H238" s="9"/>
      <c r="I238" s="9"/>
      <c r="J238" s="9"/>
      <c r="K238" s="9"/>
      <c r="P238" s="23">
        <v>64</v>
      </c>
    </row>
    <row r="239" spans="1:16" x14ac:dyDescent="0.2">
      <c r="A239" s="9" t="s">
        <v>216</v>
      </c>
      <c r="B239" s="9"/>
      <c r="C239" s="9"/>
      <c r="D239" s="9"/>
      <c r="E239" s="9"/>
      <c r="F239" s="9"/>
      <c r="G239" s="32" t="s">
        <v>226</v>
      </c>
      <c r="H239" s="26" t="s">
        <v>229</v>
      </c>
      <c r="I239" s="9"/>
      <c r="J239" s="9"/>
      <c r="K239" s="9"/>
      <c r="P239" s="23">
        <v>65</v>
      </c>
    </row>
    <row r="240" spans="1:16" x14ac:dyDescent="0.2">
      <c r="A240" s="9"/>
      <c r="B240" s="9"/>
      <c r="C240" s="9"/>
      <c r="D240" s="9"/>
      <c r="E240" s="9"/>
      <c r="F240" s="9"/>
      <c r="G240" s="9"/>
      <c r="H240" s="9"/>
      <c r="I240" s="9"/>
      <c r="J240" s="9"/>
      <c r="K240" s="9"/>
      <c r="P240" s="23">
        <v>66</v>
      </c>
    </row>
    <row r="241" spans="1:16" x14ac:dyDescent="0.2">
      <c r="A241" s="9" t="s">
        <v>217</v>
      </c>
      <c r="B241" s="9"/>
      <c r="C241" s="9"/>
      <c r="D241" s="138"/>
      <c r="E241" s="9" t="s">
        <v>218</v>
      </c>
      <c r="F241" s="9"/>
      <c r="G241" s="138"/>
      <c r="H241" s="9" t="s">
        <v>219</v>
      </c>
      <c r="I241" s="9"/>
      <c r="J241" s="138"/>
      <c r="K241" s="295"/>
      <c r="P241" s="23">
        <v>67</v>
      </c>
    </row>
    <row r="242" spans="1:16" x14ac:dyDescent="0.2">
      <c r="A242" s="9"/>
      <c r="B242" s="9"/>
      <c r="C242" s="9"/>
      <c r="D242" s="9"/>
      <c r="E242" s="9"/>
      <c r="F242" s="9"/>
      <c r="G242" s="9"/>
      <c r="H242" s="9"/>
      <c r="I242" s="9"/>
      <c r="J242" s="9"/>
      <c r="K242" s="9"/>
      <c r="P242" s="23">
        <v>68</v>
      </c>
    </row>
    <row r="243" spans="1:16" x14ac:dyDescent="0.2">
      <c r="A243" s="9"/>
      <c r="B243" s="9"/>
      <c r="C243" s="34" t="s">
        <v>228</v>
      </c>
      <c r="D243" s="589" t="s">
        <v>224</v>
      </c>
      <c r="E243" s="589"/>
      <c r="F243" s="589"/>
      <c r="G243" s="589"/>
      <c r="H243" s="589"/>
      <c r="I243" s="9"/>
      <c r="J243" s="9"/>
      <c r="K243" s="9"/>
      <c r="P243" s="23">
        <v>69</v>
      </c>
    </row>
    <row r="244" spans="1:16" x14ac:dyDescent="0.2">
      <c r="A244" s="9"/>
      <c r="B244" s="9"/>
      <c r="C244" s="34"/>
      <c r="D244" s="41"/>
      <c r="E244" s="41"/>
      <c r="F244" s="41"/>
      <c r="G244" s="41"/>
      <c r="H244" s="41"/>
      <c r="I244" s="9"/>
      <c r="J244" s="9"/>
      <c r="K244" s="9"/>
      <c r="P244" s="23">
        <v>70</v>
      </c>
    </row>
    <row r="245" spans="1:16" x14ac:dyDescent="0.2">
      <c r="A245" s="9"/>
      <c r="B245" s="9"/>
      <c r="C245" s="34" t="s">
        <v>221</v>
      </c>
      <c r="D245" s="589" t="s">
        <v>220</v>
      </c>
      <c r="E245" s="589"/>
      <c r="F245" s="589"/>
      <c r="G245" s="589"/>
      <c r="H245" s="589"/>
      <c r="I245" s="9"/>
      <c r="J245" s="9"/>
      <c r="K245" s="9"/>
      <c r="P245" s="23">
        <v>71</v>
      </c>
    </row>
    <row r="246" spans="1:16" x14ac:dyDescent="0.2">
      <c r="A246" s="9"/>
      <c r="B246" s="9"/>
      <c r="C246" s="34"/>
      <c r="D246" s="41"/>
      <c r="E246" s="41"/>
      <c r="F246" s="41"/>
      <c r="G246" s="41"/>
      <c r="H246" s="41"/>
      <c r="I246" s="9"/>
      <c r="J246" s="9"/>
      <c r="K246" s="9"/>
      <c r="P246" s="23">
        <v>72</v>
      </c>
    </row>
    <row r="247" spans="1:16" x14ac:dyDescent="0.2">
      <c r="A247" s="9"/>
      <c r="B247" s="9"/>
      <c r="C247" s="34" t="s">
        <v>222</v>
      </c>
      <c r="D247" s="588" t="s">
        <v>223</v>
      </c>
      <c r="E247" s="588"/>
      <c r="F247" s="588"/>
      <c r="G247" s="588"/>
      <c r="H247" s="588"/>
      <c r="I247" s="9"/>
      <c r="J247" s="9"/>
      <c r="K247" s="9"/>
      <c r="P247" s="23">
        <v>73</v>
      </c>
    </row>
    <row r="248" spans="1:16" x14ac:dyDescent="0.2">
      <c r="A248" s="9"/>
      <c r="B248" s="9"/>
      <c r="C248" s="9"/>
      <c r="D248" s="9"/>
      <c r="E248" s="9"/>
      <c r="F248" s="9"/>
      <c r="G248" s="9"/>
      <c r="H248" s="9"/>
      <c r="I248" s="9"/>
      <c r="J248" s="9"/>
      <c r="K248" s="9"/>
      <c r="L248" s="23" t="s">
        <v>315</v>
      </c>
      <c r="P248" s="23">
        <v>74</v>
      </c>
    </row>
    <row r="249" spans="1:16" x14ac:dyDescent="0.2">
      <c r="A249" s="9" t="s">
        <v>230</v>
      </c>
      <c r="B249" s="9"/>
      <c r="C249" s="9"/>
      <c r="D249" s="9" t="s">
        <v>231</v>
      </c>
      <c r="E249" s="439"/>
      <c r="F249" s="439"/>
      <c r="G249" s="439"/>
      <c r="H249" s="439"/>
      <c r="I249" s="9"/>
      <c r="J249" s="9"/>
      <c r="K249" s="9"/>
      <c r="L249" s="23" t="s">
        <v>349</v>
      </c>
      <c r="P249" s="23">
        <v>75</v>
      </c>
    </row>
    <row r="250" spans="1:16" x14ac:dyDescent="0.2">
      <c r="A250" s="9"/>
      <c r="B250" s="9"/>
      <c r="C250" s="9"/>
      <c r="D250" s="9"/>
      <c r="E250" s="9"/>
      <c r="F250" s="9"/>
      <c r="G250" s="9"/>
      <c r="H250" s="9"/>
      <c r="I250" s="9"/>
      <c r="J250" s="9"/>
      <c r="K250" s="9"/>
      <c r="L250" s="23" t="s">
        <v>347</v>
      </c>
    </row>
    <row r="251" spans="1:16" x14ac:dyDescent="0.2">
      <c r="A251" s="9"/>
      <c r="B251" s="9"/>
      <c r="C251" s="9"/>
      <c r="D251" s="9" t="s">
        <v>232</v>
      </c>
      <c r="E251" s="439"/>
      <c r="F251" s="439"/>
      <c r="G251" s="439"/>
      <c r="H251" s="439"/>
      <c r="I251" s="9"/>
      <c r="J251" s="9"/>
      <c r="K251" s="9"/>
      <c r="L251" s="23" t="s">
        <v>348</v>
      </c>
    </row>
    <row r="252" spans="1:16" ht="12.75" customHeight="1" x14ac:dyDescent="0.2">
      <c r="A252" s="9"/>
      <c r="B252" s="9"/>
      <c r="C252" s="9"/>
      <c r="D252" s="9"/>
      <c r="E252" s="9"/>
      <c r="F252" s="9"/>
      <c r="G252" s="9"/>
      <c r="H252" s="9"/>
      <c r="I252" s="9"/>
      <c r="J252" s="9"/>
      <c r="K252" s="9"/>
    </row>
    <row r="253" spans="1:16" x14ac:dyDescent="0.2">
      <c r="A253" s="9" t="s">
        <v>305</v>
      </c>
      <c r="B253" s="9"/>
      <c r="C253" s="9"/>
      <c r="D253" s="9"/>
      <c r="E253" s="9"/>
      <c r="F253" s="380" t="str">
        <f>I468</f>
        <v/>
      </c>
      <c r="G253" s="26" t="s">
        <v>306</v>
      </c>
      <c r="H253" s="26"/>
      <c r="I253" s="26"/>
      <c r="J253" s="9"/>
      <c r="K253" s="9"/>
    </row>
    <row r="254" spans="1:16" x14ac:dyDescent="0.2">
      <c r="A254" s="9"/>
      <c r="B254" s="9"/>
      <c r="C254" s="9"/>
      <c r="D254" s="9"/>
      <c r="E254" s="9"/>
      <c r="F254" s="9"/>
      <c r="G254" s="9"/>
      <c r="H254" s="9"/>
      <c r="I254" s="9"/>
      <c r="J254" s="9"/>
      <c r="K254" s="9"/>
      <c r="L254" s="23" t="s">
        <v>513</v>
      </c>
    </row>
    <row r="255" spans="1:16" x14ac:dyDescent="0.2">
      <c r="A255" s="9" t="s">
        <v>308</v>
      </c>
      <c r="B255" s="9"/>
      <c r="C255" s="9"/>
      <c r="D255" s="9"/>
      <c r="E255" s="9"/>
      <c r="F255" s="381" t="str">
        <f>D1061</f>
        <v/>
      </c>
      <c r="G255" s="9" t="s">
        <v>307</v>
      </c>
      <c r="H255" s="26" t="s">
        <v>306</v>
      </c>
      <c r="I255" s="9"/>
      <c r="J255" s="9"/>
      <c r="K255" s="9"/>
      <c r="L255" s="23" t="s">
        <v>227</v>
      </c>
    </row>
    <row r="256" spans="1:16" x14ac:dyDescent="0.2">
      <c r="A256" s="9"/>
      <c r="B256" s="9"/>
      <c r="C256" s="9"/>
      <c r="D256" s="9"/>
      <c r="E256" s="9"/>
      <c r="F256" s="9"/>
      <c r="G256" s="9"/>
      <c r="H256" s="9"/>
      <c r="I256" s="9"/>
      <c r="J256" s="9"/>
      <c r="K256" s="9"/>
      <c r="L256" s="23" t="s">
        <v>226</v>
      </c>
    </row>
    <row r="257" spans="1:16" x14ac:dyDescent="0.2">
      <c r="A257" s="9" t="s">
        <v>314</v>
      </c>
      <c r="B257" s="9"/>
      <c r="C257" s="439"/>
      <c r="D257" s="439"/>
      <c r="E257" s="439"/>
      <c r="F257" s="439"/>
      <c r="G257" s="9"/>
      <c r="H257" s="9"/>
      <c r="I257" s="9"/>
      <c r="J257" s="9"/>
      <c r="K257" s="9"/>
    </row>
    <row r="258" spans="1:16" x14ac:dyDescent="0.2">
      <c r="A258" s="9"/>
      <c r="B258" s="9"/>
      <c r="C258" s="9"/>
      <c r="D258" s="9"/>
      <c r="E258" s="9"/>
      <c r="F258" s="9"/>
      <c r="G258" s="9"/>
      <c r="H258" s="34"/>
      <c r="I258" s="9"/>
      <c r="J258" s="9"/>
      <c r="K258" s="9"/>
    </row>
    <row r="259" spans="1:16" x14ac:dyDescent="0.2">
      <c r="A259" s="9" t="s">
        <v>888</v>
      </c>
      <c r="B259" s="9"/>
      <c r="C259" s="9"/>
      <c r="D259" s="592"/>
      <c r="E259" s="592"/>
      <c r="F259" s="9"/>
      <c r="G259" s="9"/>
      <c r="H259" s="9"/>
      <c r="I259" s="9"/>
      <c r="J259" s="9"/>
      <c r="K259" s="9"/>
    </row>
    <row r="260" spans="1:16" x14ac:dyDescent="0.2">
      <c r="A260" s="9"/>
      <c r="B260" s="9"/>
      <c r="C260" s="9"/>
      <c r="D260" s="9"/>
      <c r="E260" s="9"/>
      <c r="F260" s="9"/>
      <c r="G260" s="9"/>
      <c r="H260" s="9"/>
      <c r="I260" s="9"/>
      <c r="J260" s="9"/>
      <c r="K260" s="9"/>
      <c r="L260" s="23" t="s">
        <v>315</v>
      </c>
      <c r="P260" s="23">
        <v>12</v>
      </c>
    </row>
    <row r="261" spans="1:16" ht="12.75" customHeight="1" x14ac:dyDescent="0.2">
      <c r="A261" s="250" t="s">
        <v>1058</v>
      </c>
      <c r="B261" s="250"/>
      <c r="C261" s="250"/>
      <c r="D261" s="250"/>
      <c r="E261" s="587"/>
      <c r="F261" s="587"/>
      <c r="G261" s="587"/>
      <c r="H261" s="587"/>
      <c r="I261" s="250"/>
      <c r="J261" s="250"/>
      <c r="K261" s="250"/>
      <c r="L261" s="23" t="s">
        <v>1</v>
      </c>
      <c r="P261" s="23">
        <v>24</v>
      </c>
    </row>
    <row r="262" spans="1:16" x14ac:dyDescent="0.2">
      <c r="A262" s="250"/>
      <c r="B262" s="250"/>
      <c r="C262" s="250"/>
      <c r="D262" s="250"/>
      <c r="E262"/>
      <c r="F262"/>
      <c r="G262"/>
      <c r="H262"/>
      <c r="I262" s="250"/>
      <c r="J262" s="250"/>
      <c r="K262" s="250"/>
      <c r="L262" s="23" t="s">
        <v>1059</v>
      </c>
    </row>
    <row r="263" spans="1:16" x14ac:dyDescent="0.2">
      <c r="A263" s="250" t="s">
        <v>2</v>
      </c>
      <c r="B263" s="250"/>
      <c r="C263" s="250"/>
      <c r="D263" s="252" t="s">
        <v>4</v>
      </c>
      <c r="E263" s="140"/>
      <c r="F263" t="s">
        <v>3</v>
      </c>
      <c r="G263" s="330" t="s">
        <v>1093</v>
      </c>
      <c r="H263" s="329" t="s">
        <v>1094</v>
      </c>
      <c r="I263" s="296"/>
      <c r="J263" s="250" t="s">
        <v>282</v>
      </c>
      <c r="K263" s="250"/>
      <c r="L263" s="23" t="s">
        <v>124</v>
      </c>
      <c r="P263" s="23">
        <v>15</v>
      </c>
    </row>
    <row r="264" spans="1:16" x14ac:dyDescent="0.2">
      <c r="A264" s="9"/>
      <c r="B264" s="9"/>
      <c r="C264" s="9"/>
      <c r="D264" s="9"/>
      <c r="E264" s="9"/>
      <c r="F264" s="9"/>
      <c r="G264" s="9"/>
      <c r="H264" s="9"/>
      <c r="I264" s="9"/>
      <c r="J264" s="9"/>
      <c r="K264" s="9"/>
      <c r="P264" s="23">
        <v>20</v>
      </c>
    </row>
    <row r="265" spans="1:16" x14ac:dyDescent="0.2">
      <c r="A265" s="441" t="s">
        <v>1060</v>
      </c>
      <c r="B265" s="441"/>
      <c r="C265" s="441"/>
      <c r="D265" s="441"/>
      <c r="E265" s="441"/>
      <c r="F265" s="441"/>
      <c r="G265" s="441"/>
      <c r="H265" s="441"/>
      <c r="I265" s="441"/>
      <c r="J265" s="441"/>
      <c r="K265" s="28"/>
      <c r="P265" s="23">
        <v>25</v>
      </c>
    </row>
    <row r="266" spans="1:16" x14ac:dyDescent="0.2">
      <c r="A266" s="441" t="s">
        <v>1061</v>
      </c>
      <c r="B266" s="441"/>
      <c r="C266" s="441"/>
      <c r="D266" s="441"/>
      <c r="E266" s="441"/>
      <c r="F266" s="441"/>
      <c r="G266" s="441"/>
      <c r="H266" s="441"/>
      <c r="I266" s="441"/>
      <c r="J266" s="441"/>
      <c r="K266" s="28"/>
      <c r="P266" s="23">
        <v>30</v>
      </c>
    </row>
    <row r="267" spans="1:16" x14ac:dyDescent="0.2">
      <c r="A267" s="441" t="s">
        <v>88</v>
      </c>
      <c r="B267" s="441"/>
      <c r="C267" s="441"/>
      <c r="D267" s="441"/>
      <c r="E267" s="441"/>
      <c r="F267" s="441"/>
      <c r="G267" s="441"/>
      <c r="H267" s="441"/>
      <c r="I267" s="441"/>
      <c r="J267" s="441"/>
      <c r="K267" s="28"/>
    </row>
    <row r="268" spans="1:16" x14ac:dyDescent="0.2">
      <c r="A268" s="26"/>
      <c r="B268" s="9"/>
      <c r="C268" s="9"/>
      <c r="D268" s="446" t="str">
        <f>IF($B$229="","",$B$229)</f>
        <v/>
      </c>
      <c r="E268" s="446"/>
      <c r="F268" s="446"/>
      <c r="G268" s="446"/>
      <c r="H268" s="9"/>
      <c r="I268" s="27"/>
      <c r="J268" s="9"/>
      <c r="K268" s="9"/>
    </row>
    <row r="269" spans="1:16" x14ac:dyDescent="0.2">
      <c r="A269" s="9"/>
      <c r="B269" s="9"/>
      <c r="C269" s="9"/>
      <c r="D269" s="443" t="s">
        <v>1143</v>
      </c>
      <c r="E269" s="443"/>
      <c r="F269" s="443"/>
      <c r="G269" s="443"/>
      <c r="H269" s="9"/>
      <c r="I269" s="9"/>
      <c r="J269" s="9"/>
      <c r="K269" s="9"/>
    </row>
    <row r="270" spans="1:16" x14ac:dyDescent="0.2">
      <c r="A270" s="443" t="s">
        <v>316</v>
      </c>
      <c r="B270" s="443"/>
      <c r="C270" s="443"/>
      <c r="D270" s="443"/>
      <c r="E270" s="443"/>
      <c r="F270" s="443"/>
      <c r="G270" s="443"/>
      <c r="H270" s="443"/>
      <c r="I270" s="443"/>
      <c r="J270" s="443"/>
      <c r="K270" s="235"/>
    </row>
    <row r="271" spans="1:16" x14ac:dyDescent="0.2">
      <c r="A271" s="28"/>
      <c r="B271" s="28"/>
      <c r="C271" s="28"/>
      <c r="D271" s="28"/>
      <c r="E271" s="28"/>
      <c r="F271" s="28"/>
      <c r="G271" s="28"/>
      <c r="H271" s="28"/>
      <c r="I271" s="28"/>
      <c r="J271" s="28"/>
      <c r="K271" s="28"/>
    </row>
    <row r="272" spans="1:16" x14ac:dyDescent="0.2">
      <c r="A272" s="42" t="s">
        <v>322</v>
      </c>
      <c r="B272" s="28"/>
      <c r="C272" s="28"/>
      <c r="D272" s="28"/>
      <c r="E272" s="28"/>
      <c r="F272" s="28"/>
      <c r="G272" s="28"/>
      <c r="H272" s="28"/>
      <c r="I272" s="28"/>
      <c r="J272" s="28"/>
      <c r="K272" s="28"/>
    </row>
    <row r="273" spans="1:12" x14ac:dyDescent="0.2">
      <c r="A273" s="9" t="s">
        <v>317</v>
      </c>
      <c r="B273" s="9"/>
      <c r="C273" s="577"/>
      <c r="D273" s="577"/>
      <c r="E273" s="28"/>
      <c r="F273" s="28"/>
      <c r="G273" s="28"/>
      <c r="H273" s="9"/>
      <c r="I273" s="9"/>
      <c r="J273" s="9"/>
      <c r="K273" s="9"/>
    </row>
    <row r="274" spans="1:12" x14ac:dyDescent="0.2">
      <c r="A274" s="9"/>
      <c r="B274" s="9"/>
      <c r="C274" s="9"/>
      <c r="D274" s="9"/>
      <c r="E274" s="9"/>
      <c r="F274" s="9"/>
      <c r="G274" s="9"/>
      <c r="H274" s="9"/>
      <c r="I274" s="9"/>
      <c r="J274" s="9"/>
      <c r="K274" s="9"/>
    </row>
    <row r="275" spans="1:12" x14ac:dyDescent="0.2">
      <c r="A275" s="34" t="s">
        <v>173</v>
      </c>
      <c r="B275" s="590"/>
      <c r="C275" s="590"/>
      <c r="D275" s="590"/>
      <c r="E275" s="590"/>
      <c r="F275" s="29" t="s">
        <v>325</v>
      </c>
      <c r="G275" s="140"/>
      <c r="H275" s="577"/>
      <c r="I275" s="577"/>
      <c r="J275" s="577"/>
      <c r="K275" s="1"/>
      <c r="L275" s="23" t="s">
        <v>227</v>
      </c>
    </row>
    <row r="276" spans="1:12" x14ac:dyDescent="0.2">
      <c r="A276" s="9"/>
      <c r="B276" s="9"/>
      <c r="C276" s="9"/>
      <c r="D276" s="9"/>
      <c r="E276" s="9"/>
      <c r="F276" s="9"/>
      <c r="G276" s="9"/>
      <c r="H276" s="9"/>
      <c r="I276" s="9"/>
      <c r="J276" s="9"/>
      <c r="K276" s="9"/>
      <c r="L276" s="23" t="s">
        <v>226</v>
      </c>
    </row>
    <row r="277" spans="1:12" x14ac:dyDescent="0.2">
      <c r="A277" s="9"/>
      <c r="B277" s="34" t="s">
        <v>174</v>
      </c>
      <c r="C277" s="577"/>
      <c r="D277" s="577"/>
      <c r="E277" s="577"/>
      <c r="F277" s="577"/>
      <c r="G277" s="577"/>
      <c r="H277" s="577"/>
      <c r="I277" s="577"/>
      <c r="J277" s="39"/>
      <c r="K277" s="39"/>
    </row>
    <row r="278" spans="1:12" x14ac:dyDescent="0.2">
      <c r="A278" s="9"/>
      <c r="B278" s="9"/>
      <c r="C278" s="9"/>
      <c r="D278" s="9"/>
      <c r="E278" s="9"/>
      <c r="F278" s="9"/>
      <c r="G278" s="9"/>
      <c r="H278" s="9"/>
      <c r="I278" s="9"/>
      <c r="J278" s="9"/>
      <c r="K278" s="9"/>
    </row>
    <row r="279" spans="1:12" x14ac:dyDescent="0.2">
      <c r="A279" s="9"/>
      <c r="B279" s="34" t="s">
        <v>175</v>
      </c>
      <c r="C279" s="577"/>
      <c r="D279" s="577"/>
      <c r="E279" s="577"/>
      <c r="F279" s="29" t="s">
        <v>176</v>
      </c>
      <c r="G279" s="577"/>
      <c r="H279" s="577"/>
      <c r="I279" s="29" t="s">
        <v>178</v>
      </c>
      <c r="J279" s="138"/>
      <c r="K279" s="295"/>
    </row>
    <row r="280" spans="1:12" x14ac:dyDescent="0.2">
      <c r="A280" s="9"/>
      <c r="B280" s="9"/>
      <c r="C280" s="9"/>
      <c r="D280" s="9"/>
      <c r="E280" s="9"/>
      <c r="F280" s="9"/>
      <c r="G280" s="9"/>
      <c r="H280" s="9"/>
      <c r="I280" s="9"/>
      <c r="J280" s="9"/>
      <c r="K280" s="295"/>
    </row>
    <row r="281" spans="1:12" x14ac:dyDescent="0.2">
      <c r="A281" s="9"/>
      <c r="B281" s="34" t="s">
        <v>323</v>
      </c>
      <c r="C281" s="577"/>
      <c r="D281" s="577"/>
      <c r="E281" s="577"/>
      <c r="F281" s="29" t="s">
        <v>333</v>
      </c>
      <c r="G281" s="578"/>
      <c r="H281" s="577"/>
      <c r="I281" s="577"/>
      <c r="J281" s="577"/>
      <c r="K281" s="295"/>
    </row>
    <row r="282" spans="1:12" x14ac:dyDescent="0.2">
      <c r="A282" s="9"/>
      <c r="B282" s="9"/>
      <c r="C282" s="9"/>
      <c r="D282" s="9"/>
      <c r="E282" s="9"/>
      <c r="F282" s="9"/>
      <c r="G282" s="9"/>
      <c r="H282" s="9"/>
      <c r="I282" s="9"/>
      <c r="J282" s="9"/>
      <c r="K282" s="295"/>
    </row>
    <row r="283" spans="1:12" x14ac:dyDescent="0.2">
      <c r="A283" s="9"/>
      <c r="B283" s="34" t="s">
        <v>324</v>
      </c>
      <c r="C283" s="577"/>
      <c r="D283" s="577"/>
      <c r="E283" s="577"/>
      <c r="F283" s="29" t="s">
        <v>335</v>
      </c>
      <c r="G283" s="577"/>
      <c r="H283" s="577"/>
      <c r="I283" s="577"/>
      <c r="J283" s="9"/>
      <c r="K283" s="295"/>
    </row>
    <row r="284" spans="1:12" x14ac:dyDescent="0.2">
      <c r="A284" s="9"/>
      <c r="B284" s="9"/>
      <c r="C284" s="9"/>
      <c r="D284" s="9"/>
      <c r="E284" s="9"/>
      <c r="F284" s="9"/>
      <c r="G284" s="9"/>
      <c r="H284" s="9"/>
      <c r="I284" s="9"/>
      <c r="J284" s="9"/>
      <c r="K284" s="295"/>
    </row>
    <row r="285" spans="1:12" x14ac:dyDescent="0.2">
      <c r="A285" s="9"/>
      <c r="B285" s="34" t="s">
        <v>332</v>
      </c>
      <c r="C285" s="577"/>
      <c r="D285" s="577"/>
      <c r="E285" s="577"/>
      <c r="F285" s="29" t="s">
        <v>334</v>
      </c>
      <c r="G285" s="577"/>
      <c r="H285" s="577"/>
      <c r="I285" s="577"/>
      <c r="J285" s="9"/>
      <c r="K285" s="295"/>
    </row>
    <row r="286" spans="1:12" ht="13.15" customHeight="1" x14ac:dyDescent="0.2">
      <c r="A286" s="9"/>
      <c r="B286" s="9"/>
      <c r="C286" s="9"/>
      <c r="D286" s="9"/>
      <c r="E286" s="9"/>
      <c r="F286" s="9"/>
      <c r="G286" s="9"/>
      <c r="H286" s="9"/>
      <c r="I286" s="9"/>
      <c r="J286" s="9"/>
      <c r="K286" s="295"/>
    </row>
    <row r="287" spans="1:12" x14ac:dyDescent="0.2">
      <c r="A287" s="42" t="s">
        <v>336</v>
      </c>
      <c r="B287" s="9"/>
      <c r="C287" s="9"/>
      <c r="D287" s="9"/>
      <c r="E287" s="9"/>
      <c r="F287" s="9"/>
      <c r="G287" s="9"/>
      <c r="H287" s="9"/>
      <c r="I287" s="9"/>
      <c r="J287" s="9"/>
      <c r="K287" s="295"/>
    </row>
    <row r="288" spans="1:12" x14ac:dyDescent="0.2">
      <c r="A288" s="9"/>
      <c r="B288" s="9"/>
      <c r="C288" s="9"/>
      <c r="D288" s="9"/>
      <c r="E288" s="9"/>
      <c r="F288" s="9"/>
      <c r="G288" s="9"/>
      <c r="H288" s="9"/>
      <c r="I288" s="9"/>
      <c r="J288" s="9"/>
      <c r="K288" s="295"/>
    </row>
    <row r="289" spans="1:11" x14ac:dyDescent="0.2">
      <c r="A289" s="9"/>
      <c r="B289" s="34" t="s">
        <v>987</v>
      </c>
      <c r="C289" s="577"/>
      <c r="D289" s="577"/>
      <c r="E289" s="577"/>
      <c r="F289" s="577"/>
      <c r="G289" s="577"/>
      <c r="H289" s="577"/>
      <c r="I289" s="577"/>
      <c r="J289" s="1"/>
      <c r="K289" s="295"/>
    </row>
    <row r="290" spans="1:11" x14ac:dyDescent="0.2">
      <c r="A290" s="9"/>
      <c r="B290" s="9"/>
      <c r="C290" s="9"/>
      <c r="D290" s="9"/>
      <c r="E290" s="9"/>
      <c r="F290" s="9"/>
      <c r="G290" s="9"/>
      <c r="H290" s="9"/>
      <c r="I290" s="9"/>
      <c r="J290" s="9"/>
      <c r="K290" s="295"/>
    </row>
    <row r="291" spans="1:11" x14ac:dyDescent="0.2">
      <c r="A291" s="9"/>
      <c r="B291" s="34" t="s">
        <v>174</v>
      </c>
      <c r="C291" s="577"/>
      <c r="D291" s="577"/>
      <c r="E291" s="577"/>
      <c r="F291" s="577"/>
      <c r="G291" s="577"/>
      <c r="H291" s="577"/>
      <c r="I291" s="577"/>
      <c r="J291" s="39"/>
      <c r="K291" s="295"/>
    </row>
    <row r="292" spans="1:11" x14ac:dyDescent="0.2">
      <c r="A292" s="9"/>
      <c r="B292" s="9"/>
      <c r="C292" s="9"/>
      <c r="D292" s="9"/>
      <c r="E292" s="9"/>
      <c r="F292" s="9"/>
      <c r="G292" s="9"/>
      <c r="H292" s="9"/>
      <c r="I292" s="9"/>
      <c r="J292" s="9"/>
      <c r="K292" s="295"/>
    </row>
    <row r="293" spans="1:11" x14ac:dyDescent="0.2">
      <c r="A293" s="9"/>
      <c r="B293" s="34" t="s">
        <v>175</v>
      </c>
      <c r="C293" s="577"/>
      <c r="D293" s="577"/>
      <c r="E293" s="577"/>
      <c r="F293" s="29" t="s">
        <v>176</v>
      </c>
      <c r="G293" s="577"/>
      <c r="H293" s="577"/>
      <c r="I293" s="29" t="s">
        <v>178</v>
      </c>
      <c r="J293" s="138"/>
      <c r="K293" s="295"/>
    </row>
    <row r="294" spans="1:11" x14ac:dyDescent="0.2">
      <c r="A294" s="9"/>
      <c r="B294" s="9"/>
      <c r="C294" s="9"/>
      <c r="D294" s="9"/>
      <c r="E294" s="9"/>
      <c r="F294" s="9"/>
      <c r="G294" s="9"/>
      <c r="H294" s="9"/>
      <c r="I294" s="9"/>
      <c r="J294" s="9"/>
      <c r="K294" s="295"/>
    </row>
    <row r="295" spans="1:11" x14ac:dyDescent="0.2">
      <c r="A295" s="9"/>
      <c r="B295" s="34" t="s">
        <v>337</v>
      </c>
      <c r="C295" s="577"/>
      <c r="D295" s="577"/>
      <c r="E295" s="577"/>
      <c r="F295" s="43"/>
      <c r="G295" s="34" t="s">
        <v>338</v>
      </c>
      <c r="H295" s="575"/>
      <c r="I295" s="575"/>
      <c r="J295" s="575"/>
      <c r="K295" s="295"/>
    </row>
    <row r="296" spans="1:11" x14ac:dyDescent="0.2">
      <c r="A296" s="9"/>
      <c r="B296" s="9"/>
      <c r="C296" s="9"/>
      <c r="D296" s="9"/>
      <c r="E296" s="9"/>
      <c r="F296" s="9"/>
      <c r="G296" s="9"/>
      <c r="H296" s="9"/>
      <c r="I296" s="9"/>
      <c r="J296" s="9"/>
      <c r="K296" s="295"/>
    </row>
    <row r="297" spans="1:11" x14ac:dyDescent="0.2">
      <c r="A297" s="9"/>
      <c r="B297" s="34" t="s">
        <v>339</v>
      </c>
      <c r="C297" s="577"/>
      <c r="D297" s="577"/>
      <c r="E297" s="577"/>
      <c r="F297" s="29" t="s">
        <v>324</v>
      </c>
      <c r="G297" s="577"/>
      <c r="H297" s="577"/>
      <c r="I297" s="577"/>
      <c r="J297" s="9"/>
      <c r="K297" s="295"/>
    </row>
    <row r="298" spans="1:11" x14ac:dyDescent="0.2">
      <c r="A298" s="9"/>
      <c r="B298" s="9"/>
      <c r="C298" s="9"/>
      <c r="D298" s="9"/>
      <c r="E298" s="9"/>
      <c r="F298" s="9"/>
      <c r="G298" s="9"/>
      <c r="H298" s="9"/>
      <c r="I298" s="9"/>
      <c r="J298" s="9"/>
      <c r="K298" s="295"/>
    </row>
    <row r="299" spans="1:11" x14ac:dyDescent="0.2">
      <c r="A299" s="33" t="s">
        <v>340</v>
      </c>
      <c r="B299" s="9"/>
      <c r="C299" s="9"/>
      <c r="D299" s="9"/>
      <c r="E299" s="9"/>
      <c r="F299" s="9"/>
      <c r="G299" s="9"/>
      <c r="H299" s="9"/>
      <c r="I299" s="9"/>
      <c r="J299" s="9"/>
      <c r="K299" s="295"/>
    </row>
    <row r="300" spans="1:11" x14ac:dyDescent="0.2">
      <c r="A300" s="34" t="s">
        <v>341</v>
      </c>
      <c r="B300" s="9"/>
      <c r="C300" s="9"/>
      <c r="D300" s="9"/>
      <c r="E300" s="34"/>
      <c r="F300" s="34" t="s">
        <v>342</v>
      </c>
      <c r="G300" s="44"/>
      <c r="H300" s="9"/>
      <c r="I300" s="9" t="s">
        <v>343</v>
      </c>
      <c r="J300" s="9"/>
      <c r="K300" s="295"/>
    </row>
    <row r="301" spans="1:11" x14ac:dyDescent="0.2">
      <c r="A301" s="437"/>
      <c r="B301" s="437"/>
      <c r="C301" s="437"/>
      <c r="D301" s="437"/>
      <c r="E301" s="9"/>
      <c r="F301" s="577"/>
      <c r="G301" s="577"/>
      <c r="H301" s="9"/>
      <c r="I301" s="141"/>
      <c r="J301" s="9"/>
      <c r="K301" s="295"/>
    </row>
    <row r="302" spans="1:11" x14ac:dyDescent="0.2">
      <c r="A302" s="452"/>
      <c r="B302" s="452"/>
      <c r="C302" s="452"/>
      <c r="D302" s="452"/>
      <c r="E302" s="9"/>
      <c r="F302" s="577"/>
      <c r="G302" s="577"/>
      <c r="H302" s="9"/>
      <c r="I302" s="142"/>
      <c r="J302" s="9"/>
      <c r="K302" s="295"/>
    </row>
    <row r="303" spans="1:11" x14ac:dyDescent="0.2">
      <c r="A303" s="452"/>
      <c r="B303" s="452"/>
      <c r="C303" s="452"/>
      <c r="D303" s="452"/>
      <c r="E303" s="9"/>
      <c r="F303" s="577"/>
      <c r="G303" s="577"/>
      <c r="H303" s="9"/>
      <c r="I303" s="142"/>
      <c r="J303" s="9"/>
      <c r="K303" s="295"/>
    </row>
    <row r="304" spans="1:11" x14ac:dyDescent="0.2">
      <c r="A304" s="9"/>
      <c r="B304" s="9"/>
      <c r="C304" s="9"/>
      <c r="D304" s="45"/>
      <c r="E304" s="9"/>
      <c r="F304" s="9"/>
      <c r="G304" s="9"/>
      <c r="H304" s="9"/>
      <c r="I304" s="9"/>
      <c r="J304" s="9"/>
      <c r="K304" s="295"/>
    </row>
    <row r="305" spans="1:11" x14ac:dyDescent="0.2">
      <c r="A305" s="33" t="s">
        <v>27</v>
      </c>
      <c r="B305" s="9"/>
      <c r="C305" s="9"/>
      <c r="D305" s="9"/>
      <c r="E305" s="9"/>
      <c r="F305" s="9"/>
      <c r="G305" s="9"/>
      <c r="H305" s="9"/>
      <c r="I305" s="9"/>
      <c r="J305" s="9"/>
      <c r="K305" s="295"/>
    </row>
    <row r="306" spans="1:11" x14ac:dyDescent="0.2">
      <c r="A306" s="9" t="s">
        <v>590</v>
      </c>
      <c r="B306" s="9"/>
      <c r="C306" s="9"/>
      <c r="D306" s="9"/>
      <c r="E306" s="9"/>
      <c r="F306" s="9"/>
      <c r="G306" s="9"/>
      <c r="H306" s="9"/>
      <c r="I306" s="9"/>
      <c r="J306" s="9"/>
      <c r="K306" s="295"/>
    </row>
    <row r="307" spans="1:11" x14ac:dyDescent="0.2">
      <c r="A307" s="43" t="s">
        <v>344</v>
      </c>
      <c r="B307" s="29"/>
      <c r="C307" s="29"/>
      <c r="D307" s="29"/>
      <c r="E307" s="450" t="s">
        <v>345</v>
      </c>
      <c r="F307" s="450"/>
      <c r="G307" s="450" t="s">
        <v>168</v>
      </c>
      <c r="H307" s="450"/>
      <c r="I307" s="450" t="s">
        <v>346</v>
      </c>
      <c r="J307" s="450"/>
      <c r="K307" s="295"/>
    </row>
    <row r="308" spans="1:11" x14ac:dyDescent="0.2">
      <c r="A308" s="432"/>
      <c r="B308" s="432"/>
      <c r="C308" s="432"/>
      <c r="D308" s="432"/>
      <c r="E308" s="579"/>
      <c r="F308" s="579"/>
      <c r="G308" s="582"/>
      <c r="H308" s="583"/>
      <c r="I308" s="579"/>
      <c r="J308" s="579"/>
      <c r="K308" s="295"/>
    </row>
    <row r="309" spans="1:11" x14ac:dyDescent="0.2">
      <c r="A309" s="432"/>
      <c r="B309" s="432"/>
      <c r="C309" s="432"/>
      <c r="D309" s="432"/>
      <c r="E309" s="434"/>
      <c r="F309" s="434"/>
      <c r="G309" s="532"/>
      <c r="H309" s="605"/>
      <c r="I309" s="579"/>
      <c r="J309" s="579"/>
      <c r="K309" s="295"/>
    </row>
    <row r="310" spans="1:11" x14ac:dyDescent="0.2">
      <c r="A310" s="432"/>
      <c r="B310" s="432"/>
      <c r="C310" s="432"/>
      <c r="D310" s="432"/>
      <c r="E310" s="434"/>
      <c r="F310" s="434"/>
      <c r="G310" s="532"/>
      <c r="H310" s="605"/>
      <c r="I310" s="579"/>
      <c r="J310" s="579"/>
      <c r="K310" s="295"/>
    </row>
    <row r="311" spans="1:11" x14ac:dyDescent="0.2">
      <c r="A311" s="432"/>
      <c r="B311" s="432"/>
      <c r="C311" s="432"/>
      <c r="D311" s="432"/>
      <c r="E311" s="434"/>
      <c r="F311" s="434"/>
      <c r="G311" s="532"/>
      <c r="H311" s="605"/>
      <c r="I311" s="579"/>
      <c r="J311" s="579"/>
      <c r="K311" s="295"/>
    </row>
    <row r="312" spans="1:11" x14ac:dyDescent="0.2">
      <c r="A312" s="432"/>
      <c r="B312" s="432"/>
      <c r="C312" s="432"/>
      <c r="D312" s="432"/>
      <c r="E312" s="434"/>
      <c r="F312" s="434"/>
      <c r="G312" s="532"/>
      <c r="H312" s="605"/>
      <c r="I312" s="579"/>
      <c r="J312" s="579"/>
      <c r="K312" s="295"/>
    </row>
    <row r="313" spans="1:11" x14ac:dyDescent="0.2">
      <c r="A313" s="432"/>
      <c r="B313" s="432"/>
      <c r="C313" s="432"/>
      <c r="D313" s="432"/>
      <c r="E313" s="434"/>
      <c r="F313" s="434"/>
      <c r="G313" s="532"/>
      <c r="H313" s="605"/>
      <c r="I313" s="579"/>
      <c r="J313" s="579"/>
      <c r="K313" s="295"/>
    </row>
    <row r="314" spans="1:11" x14ac:dyDescent="0.2">
      <c r="A314" s="432"/>
      <c r="B314" s="432"/>
      <c r="C314" s="432"/>
      <c r="D314" s="432"/>
      <c r="E314" s="434"/>
      <c r="F314" s="434"/>
      <c r="G314" s="605"/>
      <c r="H314" s="605"/>
      <c r="I314" s="579"/>
      <c r="J314" s="579"/>
      <c r="K314" s="295"/>
    </row>
    <row r="315" spans="1:11" x14ac:dyDescent="0.2">
      <c r="A315" s="432"/>
      <c r="B315" s="432"/>
      <c r="C315" s="432"/>
      <c r="D315" s="432"/>
      <c r="E315" s="434"/>
      <c r="F315" s="434"/>
      <c r="G315" s="605"/>
      <c r="H315" s="605"/>
      <c r="I315" s="579"/>
      <c r="J315" s="579"/>
      <c r="K315" s="295"/>
    </row>
    <row r="316" spans="1:11" x14ac:dyDescent="0.2">
      <c r="A316" s="432"/>
      <c r="B316" s="432"/>
      <c r="C316" s="432"/>
      <c r="D316" s="432"/>
      <c r="E316" s="434"/>
      <c r="F316" s="434"/>
      <c r="G316" s="605"/>
      <c r="H316" s="605"/>
      <c r="I316" s="579"/>
      <c r="J316" s="579"/>
      <c r="K316" s="295"/>
    </row>
    <row r="317" spans="1:11" x14ac:dyDescent="0.2">
      <c r="A317" s="432"/>
      <c r="B317" s="432"/>
      <c r="C317" s="432"/>
      <c r="D317" s="432"/>
      <c r="E317" s="434"/>
      <c r="F317" s="434"/>
      <c r="G317" s="605"/>
      <c r="H317" s="605"/>
      <c r="I317" s="579"/>
      <c r="J317" s="579"/>
      <c r="K317" s="295"/>
    </row>
    <row r="318" spans="1:11" x14ac:dyDescent="0.2">
      <c r="A318"/>
      <c r="B318"/>
      <c r="C318"/>
      <c r="D318"/>
      <c r="E318"/>
      <c r="F318"/>
      <c r="G318"/>
      <c r="H318"/>
      <c r="I318"/>
      <c r="J318"/>
      <c r="K318" s="295"/>
    </row>
    <row r="319" spans="1:11" x14ac:dyDescent="0.2">
      <c r="A319" s="526" t="s">
        <v>1060</v>
      </c>
      <c r="B319" s="526"/>
      <c r="C319" s="526"/>
      <c r="D319" s="526"/>
      <c r="E319" s="526"/>
      <c r="F319" s="526"/>
      <c r="G319" s="526"/>
      <c r="H319" s="526"/>
      <c r="I319" s="526"/>
      <c r="J319" s="526"/>
      <c r="K319" s="295"/>
    </row>
    <row r="320" spans="1:11" x14ac:dyDescent="0.2">
      <c r="A320" s="441" t="s">
        <v>1061</v>
      </c>
      <c r="B320" s="441"/>
      <c r="C320" s="441"/>
      <c r="D320" s="441"/>
      <c r="E320" s="441"/>
      <c r="F320" s="441"/>
      <c r="G320" s="441"/>
      <c r="H320" s="441"/>
      <c r="I320" s="441"/>
      <c r="J320" s="441"/>
      <c r="K320" s="295"/>
    </row>
    <row r="321" spans="1:15" x14ac:dyDescent="0.2">
      <c r="A321" s="441" t="s">
        <v>88</v>
      </c>
      <c r="B321" s="441"/>
      <c r="C321" s="441"/>
      <c r="D321" s="441"/>
      <c r="E321" s="441"/>
      <c r="F321" s="441"/>
      <c r="G321" s="441"/>
      <c r="H321" s="441"/>
      <c r="I321" s="441"/>
      <c r="J321" s="441"/>
      <c r="K321" s="295"/>
    </row>
    <row r="322" spans="1:15" x14ac:dyDescent="0.2">
      <c r="A322" s="26"/>
      <c r="B322" s="9"/>
      <c r="C322" s="9"/>
      <c r="D322" s="446" t="str">
        <f>IF($B$229="","",$B$229)</f>
        <v/>
      </c>
      <c r="E322" s="446"/>
      <c r="F322" s="446"/>
      <c r="G322" s="446"/>
      <c r="H322" s="9"/>
      <c r="I322" s="27"/>
      <c r="J322" s="9"/>
      <c r="K322" s="295"/>
    </row>
    <row r="323" spans="1:15" x14ac:dyDescent="0.2">
      <c r="A323" s="9"/>
      <c r="B323" s="9"/>
      <c r="C323" s="9"/>
      <c r="D323" s="443" t="s">
        <v>1143</v>
      </c>
      <c r="E323" s="443"/>
      <c r="F323" s="443"/>
      <c r="G323" s="443"/>
      <c r="H323" s="9"/>
      <c r="I323" s="9"/>
      <c r="J323" s="9"/>
      <c r="K323" s="295"/>
    </row>
    <row r="324" spans="1:15" x14ac:dyDescent="0.2">
      <c r="A324" s="443" t="s">
        <v>350</v>
      </c>
      <c r="B324" s="443"/>
      <c r="C324" s="443"/>
      <c r="D324" s="443"/>
      <c r="E324" s="443"/>
      <c r="F324" s="443"/>
      <c r="G324" s="443"/>
      <c r="H324" s="443"/>
      <c r="I324" s="443"/>
      <c r="J324" s="443"/>
      <c r="K324" s="295"/>
    </row>
    <row r="325" spans="1:15" x14ac:dyDescent="0.2">
      <c r="A325" s="9"/>
      <c r="B325" s="9"/>
      <c r="C325" s="9"/>
      <c r="D325" s="9"/>
      <c r="E325" s="9"/>
      <c r="F325" s="9"/>
      <c r="G325" s="9"/>
      <c r="H325" s="9"/>
      <c r="I325" s="9"/>
      <c r="J325" s="9"/>
      <c r="K325" s="295"/>
    </row>
    <row r="326" spans="1:15" x14ac:dyDescent="0.2">
      <c r="A326" s="33" t="s">
        <v>360</v>
      </c>
      <c r="B326" s="9"/>
      <c r="C326" s="9"/>
      <c r="D326" s="9"/>
      <c r="E326" s="9"/>
      <c r="F326" s="9"/>
      <c r="G326" s="9"/>
      <c r="H326" s="9"/>
      <c r="I326" s="9"/>
      <c r="J326" s="9"/>
      <c r="K326" s="295"/>
    </row>
    <row r="327" spans="1:15" x14ac:dyDescent="0.2">
      <c r="A327" s="9"/>
      <c r="B327" s="34" t="s">
        <v>351</v>
      </c>
      <c r="C327" s="579"/>
      <c r="D327" s="579"/>
      <c r="E327" s="579"/>
      <c r="F327" s="579"/>
      <c r="G327" s="579"/>
      <c r="H327" s="579"/>
      <c r="I327" s="579"/>
      <c r="J327" s="579"/>
      <c r="K327" s="295"/>
    </row>
    <row r="328" spans="1:15" ht="12.75" customHeight="1" x14ac:dyDescent="0.2">
      <c r="A328" s="9"/>
      <c r="B328" s="34" t="s">
        <v>352</v>
      </c>
      <c r="C328" s="434"/>
      <c r="D328" s="434"/>
      <c r="E328" s="434"/>
      <c r="F328" s="434"/>
      <c r="G328" s="434"/>
      <c r="H328" s="434"/>
      <c r="I328" s="434"/>
      <c r="J328" s="434"/>
      <c r="K328" s="295"/>
    </row>
    <row r="329" spans="1:15" x14ac:dyDescent="0.2">
      <c r="A329" s="9"/>
      <c r="B329" s="34" t="s">
        <v>353</v>
      </c>
      <c r="C329" s="434"/>
      <c r="D329" s="434"/>
      <c r="E329" s="434"/>
      <c r="F329" s="434"/>
      <c r="G329" s="434"/>
      <c r="H329" s="434"/>
      <c r="I329" s="434"/>
      <c r="J329" s="434"/>
      <c r="K329" s="295"/>
    </row>
    <row r="330" spans="1:15" x14ac:dyDescent="0.2">
      <c r="A330" s="9"/>
      <c r="B330" s="34" t="s">
        <v>354</v>
      </c>
      <c r="C330" s="434"/>
      <c r="D330" s="434"/>
      <c r="E330" s="434"/>
      <c r="F330" s="434"/>
      <c r="G330" s="434"/>
      <c r="H330" s="434"/>
      <c r="I330" s="434"/>
      <c r="J330" s="434"/>
      <c r="K330" s="295"/>
      <c r="L330" s="23" t="s">
        <v>389</v>
      </c>
      <c r="O330" s="23" t="s">
        <v>389</v>
      </c>
    </row>
    <row r="331" spans="1:15" x14ac:dyDescent="0.2">
      <c r="A331" s="9"/>
      <c r="B331" s="34" t="s">
        <v>355</v>
      </c>
      <c r="C331" s="434"/>
      <c r="D331" s="434"/>
      <c r="E331" s="434"/>
      <c r="F331" s="434"/>
      <c r="G331" s="434"/>
      <c r="H331" s="434"/>
      <c r="I331" s="434"/>
      <c r="J331" s="434"/>
      <c r="K331" s="295"/>
      <c r="L331" s="23" t="s">
        <v>796</v>
      </c>
      <c r="O331" s="23" t="s">
        <v>415</v>
      </c>
    </row>
    <row r="332" spans="1:15" x14ac:dyDescent="0.2">
      <c r="A332" s="9"/>
      <c r="B332" s="34" t="s">
        <v>356</v>
      </c>
      <c r="C332" s="434"/>
      <c r="D332" s="434"/>
      <c r="E332" s="434"/>
      <c r="F332" s="434"/>
      <c r="G332" s="434"/>
      <c r="H332" s="434"/>
      <c r="I332" s="434"/>
      <c r="J332" s="434"/>
      <c r="K332" s="295"/>
      <c r="L332" s="23" t="s">
        <v>795</v>
      </c>
      <c r="O332" s="23" t="s">
        <v>918</v>
      </c>
    </row>
    <row r="333" spans="1:15" x14ac:dyDescent="0.2">
      <c r="A333" s="9"/>
      <c r="B333" s="34" t="s">
        <v>357</v>
      </c>
      <c r="C333" s="434"/>
      <c r="D333" s="434"/>
      <c r="E333" s="434"/>
      <c r="F333" s="434"/>
      <c r="G333" s="434"/>
      <c r="H333" s="434"/>
      <c r="I333" s="434"/>
      <c r="J333" s="434"/>
      <c r="K333" s="295"/>
      <c r="L333" s="23" t="s">
        <v>797</v>
      </c>
      <c r="O333" s="23" t="s">
        <v>416</v>
      </c>
    </row>
    <row r="334" spans="1:15" x14ac:dyDescent="0.2">
      <c r="A334" s="9"/>
      <c r="B334" s="34" t="s">
        <v>358</v>
      </c>
      <c r="C334" s="434"/>
      <c r="D334" s="434"/>
      <c r="E334" s="434"/>
      <c r="F334" s="434"/>
      <c r="G334" s="434"/>
      <c r="H334" s="434"/>
      <c r="I334" s="434"/>
      <c r="J334" s="434"/>
      <c r="K334" s="295"/>
      <c r="O334" s="23" t="s">
        <v>417</v>
      </c>
    </row>
    <row r="335" spans="1:15" x14ac:dyDescent="0.2">
      <c r="A335" s="9"/>
      <c r="B335" s="9"/>
      <c r="C335" s="9"/>
      <c r="D335" s="9"/>
      <c r="E335" s="9"/>
      <c r="F335" s="9"/>
      <c r="G335" s="9"/>
      <c r="H335" s="9"/>
      <c r="I335" s="9"/>
      <c r="J335" s="9"/>
      <c r="K335" s="295"/>
      <c r="L335" s="23" t="s">
        <v>389</v>
      </c>
      <c r="O335" s="23" t="s">
        <v>418</v>
      </c>
    </row>
    <row r="336" spans="1:15" x14ac:dyDescent="0.2">
      <c r="A336" s="9" t="s">
        <v>359</v>
      </c>
      <c r="B336" s="9"/>
      <c r="C336" s="9"/>
      <c r="D336" s="9"/>
      <c r="E336" s="9"/>
      <c r="F336" s="9"/>
      <c r="G336" s="9"/>
      <c r="H336" s="138"/>
      <c r="I336" s="9"/>
      <c r="J336" s="9"/>
      <c r="K336" s="295"/>
      <c r="L336" s="23" t="s">
        <v>381</v>
      </c>
      <c r="O336" s="23" t="s">
        <v>419</v>
      </c>
    </row>
    <row r="337" spans="1:15" ht="12.75" customHeight="1" x14ac:dyDescent="0.2">
      <c r="A337" s="44" t="s">
        <v>917</v>
      </c>
      <c r="B337" s="37"/>
      <c r="C337" s="37"/>
      <c r="D337" s="37"/>
      <c r="E337" s="37"/>
      <c r="F337" s="37"/>
      <c r="G337" s="37"/>
      <c r="H337" s="144"/>
      <c r="I337" s="37"/>
      <c r="J337" s="37"/>
      <c r="K337" s="295"/>
      <c r="L337" s="23" t="s">
        <v>798</v>
      </c>
      <c r="O337" s="23" t="s">
        <v>422</v>
      </c>
    </row>
    <row r="338" spans="1:15" ht="12.75" customHeight="1" x14ac:dyDescent="0.2">
      <c r="A338" s="9"/>
      <c r="B338" s="9"/>
      <c r="C338" s="9"/>
      <c r="D338" s="9"/>
      <c r="E338" s="9"/>
      <c r="F338" s="9"/>
      <c r="G338" s="9"/>
      <c r="H338" s="9"/>
      <c r="I338" s="9"/>
      <c r="J338" s="9"/>
      <c r="K338" s="295"/>
      <c r="L338" s="23" t="s">
        <v>799</v>
      </c>
      <c r="O338" s="23" t="s">
        <v>398</v>
      </c>
    </row>
    <row r="339" spans="1:15" x14ac:dyDescent="0.2">
      <c r="A339" s="435" t="s">
        <v>28</v>
      </c>
      <c r="B339" s="435"/>
      <c r="C339" s="435"/>
      <c r="D339" s="435"/>
      <c r="E339" s="435"/>
      <c r="F339" s="435"/>
      <c r="G339" s="435"/>
      <c r="H339" s="435"/>
      <c r="I339" s="435"/>
      <c r="J339" s="435"/>
      <c r="K339" s="295"/>
      <c r="L339" s="23" t="s">
        <v>800</v>
      </c>
      <c r="O339" s="23" t="s">
        <v>399</v>
      </c>
    </row>
    <row r="340" spans="1:15" x14ac:dyDescent="0.2">
      <c r="A340" s="435"/>
      <c r="B340" s="435"/>
      <c r="C340" s="435"/>
      <c r="D340" s="435"/>
      <c r="E340" s="435"/>
      <c r="F340" s="435"/>
      <c r="G340" s="435"/>
      <c r="H340" s="435"/>
      <c r="I340" s="435"/>
      <c r="J340" s="435"/>
      <c r="K340" s="295"/>
      <c r="L340" s="23" t="s">
        <v>801</v>
      </c>
    </row>
    <row r="341" spans="1:15" x14ac:dyDescent="0.2">
      <c r="A341" s="157"/>
      <c r="B341" s="157"/>
      <c r="C341" s="157"/>
      <c r="D341" s="157"/>
      <c r="E341" s="157"/>
      <c r="F341" s="157"/>
      <c r="G341" s="157"/>
      <c r="H341" s="157"/>
      <c r="I341" s="157"/>
      <c r="J341" s="157"/>
      <c r="K341" s="295"/>
      <c r="L341" s="23" t="s">
        <v>382</v>
      </c>
    </row>
    <row r="342" spans="1:15" x14ac:dyDescent="0.2">
      <c r="A342" s="546"/>
      <c r="B342" s="557"/>
      <c r="C342" s="557"/>
      <c r="D342" s="557"/>
      <c r="E342" s="557"/>
      <c r="F342" s="557"/>
      <c r="G342" s="557"/>
      <c r="H342" s="557"/>
      <c r="I342" s="557"/>
      <c r="J342" s="558"/>
      <c r="K342" s="295"/>
    </row>
    <row r="343" spans="1:15" x14ac:dyDescent="0.2">
      <c r="A343" s="559"/>
      <c r="B343" s="560"/>
      <c r="C343" s="560"/>
      <c r="D343" s="560"/>
      <c r="E343" s="560"/>
      <c r="F343" s="560"/>
      <c r="G343" s="560"/>
      <c r="H343" s="560"/>
      <c r="I343" s="560"/>
      <c r="J343" s="561"/>
      <c r="K343" s="295"/>
    </row>
    <row r="344" spans="1:15" x14ac:dyDescent="0.2">
      <c r="A344" s="559"/>
      <c r="B344" s="560"/>
      <c r="C344" s="560"/>
      <c r="D344" s="560"/>
      <c r="E344" s="560"/>
      <c r="F344" s="560"/>
      <c r="G344" s="560"/>
      <c r="H344" s="560"/>
      <c r="I344" s="560"/>
      <c r="J344" s="561"/>
      <c r="K344" s="295"/>
    </row>
    <row r="345" spans="1:15" x14ac:dyDescent="0.2">
      <c r="A345" s="559"/>
      <c r="B345" s="560"/>
      <c r="C345" s="560"/>
      <c r="D345" s="560"/>
      <c r="E345" s="560"/>
      <c r="F345" s="560"/>
      <c r="G345" s="560"/>
      <c r="H345" s="560"/>
      <c r="I345" s="560"/>
      <c r="J345" s="561"/>
      <c r="K345" s="295"/>
    </row>
    <row r="346" spans="1:15" x14ac:dyDescent="0.2">
      <c r="A346" s="562"/>
      <c r="B346" s="563"/>
      <c r="C346" s="563"/>
      <c r="D346" s="563"/>
      <c r="E346" s="563"/>
      <c r="F346" s="563"/>
      <c r="G346" s="563"/>
      <c r="H346" s="563"/>
      <c r="I346" s="563"/>
      <c r="J346" s="564"/>
      <c r="K346" s="295"/>
    </row>
    <row r="347" spans="1:15" ht="12.75" customHeight="1" x14ac:dyDescent="0.2">
      <c r="A347" s="9"/>
      <c r="B347" s="9"/>
      <c r="C347" s="9"/>
      <c r="D347" s="9"/>
      <c r="E347" s="9"/>
      <c r="F347" s="9"/>
      <c r="G347" s="9"/>
      <c r="H347" s="9"/>
      <c r="I347" s="9"/>
      <c r="J347" s="9"/>
      <c r="K347" s="295"/>
    </row>
    <row r="348" spans="1:15" ht="13.5" thickBot="1" x14ac:dyDescent="0.25">
      <c r="A348" s="33" t="s">
        <v>361</v>
      </c>
      <c r="B348" s="9"/>
      <c r="C348" s="9"/>
      <c r="D348" s="9"/>
      <c r="E348" s="9"/>
      <c r="F348" s="9"/>
      <c r="G348" s="9"/>
      <c r="H348" s="9"/>
      <c r="I348" s="135"/>
      <c r="J348" s="46"/>
      <c r="K348" s="295"/>
      <c r="L348" s="23" t="s">
        <v>391</v>
      </c>
    </row>
    <row r="349" spans="1:15" x14ac:dyDescent="0.2">
      <c r="A349" s="435" t="s">
        <v>29</v>
      </c>
      <c r="B349" s="435"/>
      <c r="C349" s="435"/>
      <c r="D349" s="435"/>
      <c r="E349" s="435"/>
      <c r="F349" s="435"/>
      <c r="G349" s="435"/>
      <c r="H349" s="435"/>
      <c r="I349" s="435"/>
      <c r="J349" s="435"/>
      <c r="K349" s="295"/>
      <c r="L349" s="23" t="s">
        <v>392</v>
      </c>
    </row>
    <row r="350" spans="1:15" x14ac:dyDescent="0.2">
      <c r="A350" s="435"/>
      <c r="B350" s="435"/>
      <c r="C350" s="435"/>
      <c r="D350" s="435"/>
      <c r="E350" s="435"/>
      <c r="F350" s="435"/>
      <c r="G350" s="435"/>
      <c r="H350" s="435"/>
      <c r="I350" s="435"/>
      <c r="J350" s="435"/>
      <c r="K350" s="295"/>
      <c r="L350" s="23" t="s">
        <v>393</v>
      </c>
    </row>
    <row r="351" spans="1:15" x14ac:dyDescent="0.2">
      <c r="A351" s="435"/>
      <c r="B351" s="435"/>
      <c r="C351" s="435"/>
      <c r="D351" s="435"/>
      <c r="E351" s="435"/>
      <c r="F351" s="435"/>
      <c r="G351" s="435"/>
      <c r="H351" s="435"/>
      <c r="I351" s="435"/>
      <c r="J351" s="435"/>
      <c r="K351" s="295"/>
    </row>
    <row r="352" spans="1:15" x14ac:dyDescent="0.2">
      <c r="A352" s="29"/>
      <c r="B352" s="9"/>
      <c r="C352" s="9"/>
      <c r="D352" s="9"/>
      <c r="E352" s="9"/>
      <c r="F352" s="9"/>
      <c r="G352" s="9"/>
      <c r="H352" s="9"/>
      <c r="I352" s="9"/>
      <c r="J352" s="9"/>
      <c r="K352" s="295"/>
      <c r="L352" s="23" t="s">
        <v>389</v>
      </c>
    </row>
    <row r="353" spans="1:12" ht="12.75" customHeight="1" thickBot="1" x14ac:dyDescent="0.25">
      <c r="A353" s="9"/>
      <c r="B353" s="135"/>
      <c r="C353" s="31" t="s">
        <v>89</v>
      </c>
      <c r="D353" s="435" t="s">
        <v>30</v>
      </c>
      <c r="E353" s="435"/>
      <c r="F353" s="435"/>
      <c r="G353" s="435"/>
      <c r="H353" s="435"/>
      <c r="I353" s="435"/>
      <c r="J353" s="435"/>
      <c r="K353" s="295"/>
      <c r="L353" s="23" t="s">
        <v>396</v>
      </c>
    </row>
    <row r="354" spans="1:12" x14ac:dyDescent="0.2">
      <c r="A354" s="9"/>
      <c r="B354" s="9"/>
      <c r="C354" s="9"/>
      <c r="D354" s="435"/>
      <c r="E354" s="435"/>
      <c r="F354" s="435"/>
      <c r="G354" s="435"/>
      <c r="H354" s="435"/>
      <c r="I354" s="435"/>
      <c r="J354" s="435"/>
      <c r="K354" s="295"/>
      <c r="L354" s="23" t="s">
        <v>397</v>
      </c>
    </row>
    <row r="355" spans="1:12" ht="13.5" thickBot="1" x14ac:dyDescent="0.25">
      <c r="A355" s="9"/>
      <c r="B355" s="135"/>
      <c r="C355" s="31" t="s">
        <v>90</v>
      </c>
      <c r="D355" s="435" t="s">
        <v>31</v>
      </c>
      <c r="E355" s="435"/>
      <c r="F355" s="435"/>
      <c r="G355" s="435"/>
      <c r="H355" s="435"/>
      <c r="I355" s="435"/>
      <c r="J355" s="435"/>
      <c r="K355" s="295"/>
      <c r="L355" s="23" t="s">
        <v>408</v>
      </c>
    </row>
    <row r="356" spans="1:12" x14ac:dyDescent="0.2">
      <c r="A356" s="9"/>
      <c r="B356" s="9"/>
      <c r="C356" s="9"/>
      <c r="D356" s="435"/>
      <c r="E356" s="435"/>
      <c r="F356" s="435"/>
      <c r="G356" s="435"/>
      <c r="H356" s="435"/>
      <c r="I356" s="435"/>
      <c r="J356" s="435"/>
      <c r="K356" s="295"/>
      <c r="L356" s="23" t="s">
        <v>398</v>
      </c>
    </row>
    <row r="357" spans="1:12" x14ac:dyDescent="0.2">
      <c r="A357" s="9"/>
      <c r="B357" s="31" t="s">
        <v>91</v>
      </c>
      <c r="C357" s="9" t="s">
        <v>986</v>
      </c>
      <c r="D357" s="9"/>
      <c r="E357" s="9"/>
      <c r="F357" s="9"/>
      <c r="G357" s="9"/>
      <c r="H357" s="9"/>
      <c r="I357" s="9"/>
      <c r="J357" s="9"/>
      <c r="K357" s="295"/>
      <c r="L357" s="23" t="s">
        <v>399</v>
      </c>
    </row>
    <row r="358" spans="1:12" ht="13.5" thickBot="1" x14ac:dyDescent="0.25">
      <c r="A358" s="9"/>
      <c r="B358" s="135"/>
      <c r="C358" s="18" t="s">
        <v>362</v>
      </c>
      <c r="D358" s="9"/>
      <c r="E358" s="9"/>
      <c r="F358" s="135"/>
      <c r="G358" s="9" t="s">
        <v>368</v>
      </c>
      <c r="H358" s="9"/>
      <c r="I358" s="9"/>
      <c r="J358" s="9"/>
      <c r="K358" s="295"/>
      <c r="L358" s="23" t="s">
        <v>400</v>
      </c>
    </row>
    <row r="359" spans="1:12" x14ac:dyDescent="0.2">
      <c r="A359" s="9"/>
      <c r="B359" s="9"/>
      <c r="C359" s="9"/>
      <c r="D359" s="9"/>
      <c r="E359" s="9"/>
      <c r="F359" s="9"/>
      <c r="G359" s="9" t="s">
        <v>369</v>
      </c>
      <c r="H359" s="9"/>
      <c r="I359" s="9"/>
      <c r="J359" s="9"/>
      <c r="K359" s="295"/>
    </row>
    <row r="360" spans="1:12" ht="13.5" thickBot="1" x14ac:dyDescent="0.25">
      <c r="A360" s="9"/>
      <c r="B360" s="135"/>
      <c r="C360" s="9" t="s">
        <v>365</v>
      </c>
      <c r="D360" s="9"/>
      <c r="E360" s="9"/>
      <c r="F360" s="135"/>
      <c r="G360" s="9" t="s">
        <v>366</v>
      </c>
      <c r="H360" s="9"/>
      <c r="I360" s="9"/>
      <c r="J360" s="9"/>
      <c r="K360" s="295"/>
      <c r="L360" s="23" t="s">
        <v>389</v>
      </c>
    </row>
    <row r="361" spans="1:12" x14ac:dyDescent="0.2">
      <c r="A361" s="9"/>
      <c r="B361" s="9"/>
      <c r="C361" s="18"/>
      <c r="D361" s="9"/>
      <c r="E361" s="9"/>
      <c r="F361" s="9"/>
      <c r="G361" s="9"/>
      <c r="H361" s="9"/>
      <c r="I361" s="9"/>
      <c r="J361" s="9"/>
      <c r="K361" s="295"/>
      <c r="L361" s="23" t="s">
        <v>403</v>
      </c>
    </row>
    <row r="362" spans="1:12" ht="12.75" customHeight="1" thickBot="1" x14ac:dyDescent="0.25">
      <c r="A362" s="9"/>
      <c r="B362" s="135"/>
      <c r="C362" s="18" t="s">
        <v>363</v>
      </c>
      <c r="D362" s="9"/>
      <c r="E362" s="9"/>
      <c r="F362" s="135"/>
      <c r="G362" s="9" t="s">
        <v>367</v>
      </c>
      <c r="H362" s="607"/>
      <c r="I362" s="607"/>
      <c r="J362" s="607"/>
      <c r="K362" s="295"/>
      <c r="L362" s="23" t="s">
        <v>404</v>
      </c>
    </row>
    <row r="363" spans="1:12" x14ac:dyDescent="0.2">
      <c r="A363" s="9"/>
      <c r="B363" s="9"/>
      <c r="C363" s="18" t="s">
        <v>364</v>
      </c>
      <c r="D363" s="9"/>
      <c r="E363" s="9"/>
      <c r="F363" s="9"/>
      <c r="G363" s="9"/>
      <c r="H363" s="9"/>
      <c r="I363" s="9"/>
      <c r="J363" s="9"/>
      <c r="K363" s="295"/>
      <c r="L363" s="23" t="s">
        <v>405</v>
      </c>
    </row>
    <row r="364" spans="1:12" x14ac:dyDescent="0.2">
      <c r="A364" s="435" t="s">
        <v>32</v>
      </c>
      <c r="B364" s="435"/>
      <c r="C364" s="435"/>
      <c r="D364" s="435"/>
      <c r="E364" s="435"/>
      <c r="F364" s="435"/>
      <c r="G364" s="435"/>
      <c r="H364" s="435"/>
      <c r="I364" s="435"/>
      <c r="J364" s="435"/>
      <c r="K364" s="295"/>
      <c r="L364" s="23" t="s">
        <v>406</v>
      </c>
    </row>
    <row r="365" spans="1:12" x14ac:dyDescent="0.2">
      <c r="A365" s="435"/>
      <c r="B365" s="435"/>
      <c r="C365" s="435"/>
      <c r="D365" s="435"/>
      <c r="E365" s="435"/>
      <c r="F365" s="435"/>
      <c r="G365" s="435"/>
      <c r="H365" s="435"/>
      <c r="I365" s="435"/>
      <c r="J365" s="435"/>
      <c r="K365" s="295"/>
    </row>
    <row r="366" spans="1:12" x14ac:dyDescent="0.2">
      <c r="A366" s="435"/>
      <c r="B366" s="435"/>
      <c r="C366" s="435"/>
      <c r="D366" s="435"/>
      <c r="E366" s="435"/>
      <c r="F366" s="435"/>
      <c r="G366" s="435"/>
      <c r="H366" s="435"/>
      <c r="I366" s="435"/>
      <c r="J366" s="435"/>
      <c r="K366" s="295"/>
    </row>
    <row r="367" spans="1:12" x14ac:dyDescent="0.2">
      <c r="A367" s="157"/>
      <c r="B367" s="157"/>
      <c r="C367" s="157"/>
      <c r="D367" s="157"/>
      <c r="E367" s="157"/>
      <c r="F367" s="157"/>
      <c r="G367" s="157"/>
      <c r="H367" s="157"/>
      <c r="I367" s="157"/>
      <c r="J367" s="157"/>
      <c r="K367" s="295"/>
    </row>
    <row r="368" spans="1:12" x14ac:dyDescent="0.2">
      <c r="A368" s="546"/>
      <c r="B368" s="557"/>
      <c r="C368" s="557"/>
      <c r="D368" s="557"/>
      <c r="E368" s="557"/>
      <c r="F368" s="557"/>
      <c r="G368" s="557"/>
      <c r="H368" s="557"/>
      <c r="I368" s="557"/>
      <c r="J368" s="558"/>
      <c r="K368" s="295"/>
      <c r="L368" s="23" t="s">
        <v>227</v>
      </c>
    </row>
    <row r="369" spans="1:12" x14ac:dyDescent="0.2">
      <c r="A369" s="559"/>
      <c r="B369" s="560"/>
      <c r="C369" s="560"/>
      <c r="D369" s="560"/>
      <c r="E369" s="560"/>
      <c r="F369" s="560"/>
      <c r="G369" s="560"/>
      <c r="H369" s="560"/>
      <c r="I369" s="560"/>
      <c r="J369" s="561"/>
      <c r="K369" s="295"/>
      <c r="L369" s="23" t="s">
        <v>226</v>
      </c>
    </row>
    <row r="370" spans="1:12" x14ac:dyDescent="0.2">
      <c r="A370" s="559"/>
      <c r="B370" s="560"/>
      <c r="C370" s="560"/>
      <c r="D370" s="560"/>
      <c r="E370" s="560"/>
      <c r="F370" s="560"/>
      <c r="G370" s="560"/>
      <c r="H370" s="560"/>
      <c r="I370" s="560"/>
      <c r="J370" s="561"/>
      <c r="K370" s="295"/>
      <c r="L370" s="23" t="s">
        <v>211</v>
      </c>
    </row>
    <row r="371" spans="1:12" x14ac:dyDescent="0.2">
      <c r="A371" s="562"/>
      <c r="B371" s="563"/>
      <c r="C371" s="563"/>
      <c r="D371" s="563"/>
      <c r="E371" s="563"/>
      <c r="F371" s="563"/>
      <c r="G371" s="563"/>
      <c r="H371" s="563"/>
      <c r="I371" s="563"/>
      <c r="J371" s="564"/>
      <c r="K371" s="295"/>
    </row>
    <row r="372" spans="1:12" x14ac:dyDescent="0.2">
      <c r="A372"/>
      <c r="B372"/>
      <c r="C372"/>
      <c r="D372"/>
      <c r="E372"/>
      <c r="F372"/>
      <c r="G372"/>
      <c r="H372"/>
      <c r="I372"/>
      <c r="J372"/>
      <c r="K372" s="295"/>
    </row>
    <row r="373" spans="1:12" x14ac:dyDescent="0.2">
      <c r="A373" s="449" t="s">
        <v>1060</v>
      </c>
      <c r="B373" s="449"/>
      <c r="C373" s="449"/>
      <c r="D373" s="449"/>
      <c r="E373" s="449"/>
      <c r="F373" s="449"/>
      <c r="G373" s="449"/>
      <c r="H373" s="449"/>
      <c r="I373" s="449"/>
      <c r="J373" s="449"/>
      <c r="K373" s="295"/>
    </row>
    <row r="374" spans="1:12" x14ac:dyDescent="0.2">
      <c r="A374" s="441" t="s">
        <v>1061</v>
      </c>
      <c r="B374" s="441"/>
      <c r="C374" s="441"/>
      <c r="D374" s="441"/>
      <c r="E374" s="441"/>
      <c r="F374" s="441"/>
      <c r="G374" s="441"/>
      <c r="H374" s="441"/>
      <c r="I374" s="441"/>
      <c r="J374" s="441"/>
      <c r="K374" s="295"/>
    </row>
    <row r="375" spans="1:12" x14ac:dyDescent="0.2">
      <c r="A375" s="441" t="s">
        <v>88</v>
      </c>
      <c r="B375" s="441"/>
      <c r="C375" s="441"/>
      <c r="D375" s="441"/>
      <c r="E375" s="441"/>
      <c r="F375" s="441"/>
      <c r="G375" s="441"/>
      <c r="H375" s="441"/>
      <c r="I375" s="441"/>
      <c r="J375" s="441"/>
      <c r="K375" s="295"/>
    </row>
    <row r="376" spans="1:12" x14ac:dyDescent="0.2">
      <c r="A376" s="26"/>
      <c r="B376" s="9"/>
      <c r="C376" s="9"/>
      <c r="D376" s="446" t="str">
        <f>IF($B$229="","",$B$229)</f>
        <v/>
      </c>
      <c r="E376" s="446"/>
      <c r="F376" s="446"/>
      <c r="G376" s="446"/>
      <c r="H376" s="9"/>
      <c r="I376" s="27"/>
      <c r="J376" s="9"/>
      <c r="K376" s="295"/>
    </row>
    <row r="377" spans="1:12" x14ac:dyDescent="0.2">
      <c r="A377" s="9"/>
      <c r="B377" s="9"/>
      <c r="C377" s="9"/>
      <c r="D377" s="443" t="s">
        <v>1143</v>
      </c>
      <c r="E377" s="443"/>
      <c r="F377" s="443"/>
      <c r="G377" s="443"/>
      <c r="H377" s="9"/>
      <c r="I377" s="9"/>
      <c r="J377" s="9"/>
      <c r="K377" s="295"/>
    </row>
    <row r="378" spans="1:12" x14ac:dyDescent="0.2">
      <c r="A378" s="443" t="s">
        <v>370</v>
      </c>
      <c r="B378" s="443"/>
      <c r="C378" s="443"/>
      <c r="D378" s="443"/>
      <c r="E378" s="443"/>
      <c r="F378" s="443"/>
      <c r="G378" s="443"/>
      <c r="H378" s="443"/>
      <c r="I378" s="443"/>
      <c r="J378" s="443"/>
      <c r="K378" s="295"/>
    </row>
    <row r="379" spans="1:12" x14ac:dyDescent="0.2">
      <c r="A379" s="9"/>
      <c r="B379" s="9"/>
      <c r="C379" s="9"/>
      <c r="D379" s="9"/>
      <c r="E379" s="9"/>
      <c r="F379" s="9"/>
      <c r="G379" s="9"/>
      <c r="H379" s="9"/>
      <c r="I379" s="9"/>
      <c r="J379" s="9"/>
      <c r="K379" s="295"/>
    </row>
    <row r="380" spans="1:12" x14ac:dyDescent="0.2">
      <c r="A380" s="9"/>
      <c r="B380" s="9"/>
      <c r="C380" s="9"/>
      <c r="D380" s="34" t="s">
        <v>371</v>
      </c>
      <c r="E380" s="432"/>
      <c r="F380" s="432"/>
      <c r="G380" s="432"/>
      <c r="H380" s="432"/>
      <c r="I380" s="432"/>
      <c r="J380" s="9"/>
      <c r="K380" s="295"/>
    </row>
    <row r="381" spans="1:12" x14ac:dyDescent="0.2">
      <c r="A381" s="9"/>
      <c r="B381" s="9"/>
      <c r="C381" s="9"/>
      <c r="D381" s="34" t="s">
        <v>372</v>
      </c>
      <c r="E381" s="451"/>
      <c r="F381" s="451"/>
      <c r="G381" s="451"/>
      <c r="H381" s="451"/>
      <c r="I381" s="451"/>
      <c r="J381" s="9"/>
      <c r="K381" s="295"/>
    </row>
    <row r="382" spans="1:12" x14ac:dyDescent="0.2">
      <c r="A382" s="9"/>
      <c r="B382" s="9"/>
      <c r="C382" s="9"/>
      <c r="D382" s="34" t="s">
        <v>373</v>
      </c>
      <c r="E382" s="451"/>
      <c r="F382" s="451"/>
      <c r="G382" s="451"/>
      <c r="H382" s="451"/>
      <c r="I382" s="451"/>
      <c r="J382" s="9"/>
      <c r="K382" s="295"/>
    </row>
    <row r="383" spans="1:12" x14ac:dyDescent="0.2">
      <c r="A383" s="9"/>
      <c r="B383" s="34" t="s">
        <v>324</v>
      </c>
      <c r="C383" s="432"/>
      <c r="D383" s="432"/>
      <c r="E383" s="432"/>
      <c r="F383" s="9"/>
      <c r="G383" s="34" t="s">
        <v>332</v>
      </c>
      <c r="H383" s="451"/>
      <c r="I383" s="451"/>
      <c r="J383" s="111"/>
      <c r="K383" s="295"/>
    </row>
    <row r="384" spans="1:12" x14ac:dyDescent="0.2">
      <c r="A384" s="9"/>
      <c r="B384" s="34" t="s">
        <v>174</v>
      </c>
      <c r="C384" s="432"/>
      <c r="D384" s="432"/>
      <c r="E384" s="432"/>
      <c r="F384" s="9"/>
      <c r="G384" s="34" t="s">
        <v>376</v>
      </c>
      <c r="H384" s="530"/>
      <c r="I384" s="432"/>
      <c r="J384" s="432"/>
      <c r="K384" s="295"/>
    </row>
    <row r="385" spans="1:11" x14ac:dyDescent="0.2">
      <c r="A385" s="9"/>
      <c r="B385" s="34" t="s">
        <v>175</v>
      </c>
      <c r="C385" s="432"/>
      <c r="D385" s="432"/>
      <c r="E385" s="432"/>
      <c r="F385" s="34" t="s">
        <v>176</v>
      </c>
      <c r="G385" s="120" t="s">
        <v>177</v>
      </c>
      <c r="H385" s="34" t="s">
        <v>178</v>
      </c>
      <c r="I385" s="432"/>
      <c r="J385" s="432"/>
      <c r="K385" s="295"/>
    </row>
    <row r="386" spans="1:11" x14ac:dyDescent="0.2">
      <c r="A386" s="9"/>
      <c r="B386" s="34"/>
      <c r="C386" s="34" t="s">
        <v>375</v>
      </c>
      <c r="D386" s="432"/>
      <c r="E386" s="432"/>
      <c r="F386" s="432"/>
      <c r="G386" s="34" t="s">
        <v>324</v>
      </c>
      <c r="H386" s="432"/>
      <c r="I386" s="432"/>
      <c r="J386" s="432"/>
      <c r="K386" s="295"/>
    </row>
    <row r="387" spans="1:11" x14ac:dyDescent="0.2">
      <c r="A387" s="9"/>
      <c r="B387" s="34" t="s">
        <v>332</v>
      </c>
      <c r="C387" s="451"/>
      <c r="D387" s="451"/>
      <c r="E387" s="111"/>
      <c r="F387" s="34" t="s">
        <v>334</v>
      </c>
      <c r="G387" s="451"/>
      <c r="H387" s="451"/>
      <c r="I387" s="9"/>
      <c r="J387" s="9"/>
      <c r="K387" s="295"/>
    </row>
    <row r="388" spans="1:11" x14ac:dyDescent="0.2">
      <c r="A388" s="9"/>
      <c r="B388" s="34" t="s">
        <v>376</v>
      </c>
      <c r="C388" s="530"/>
      <c r="D388" s="432"/>
      <c r="E388" s="432"/>
      <c r="F388" s="9"/>
      <c r="G388" s="9"/>
      <c r="H388" s="9"/>
      <c r="I388" s="9"/>
      <c r="J388" s="9"/>
      <c r="K388" s="295"/>
    </row>
    <row r="389" spans="1:11" x14ac:dyDescent="0.2">
      <c r="A389" s="9"/>
      <c r="B389" s="9" t="s">
        <v>863</v>
      </c>
      <c r="C389" s="9"/>
      <c r="D389" s="9"/>
      <c r="E389" s="9"/>
      <c r="F389" s="9"/>
      <c r="G389" s="138"/>
      <c r="H389" s="9"/>
      <c r="I389" s="9"/>
      <c r="J389" s="9"/>
      <c r="K389" s="295"/>
    </row>
    <row r="390" spans="1:11" x14ac:dyDescent="0.2">
      <c r="A390" s="9"/>
      <c r="B390" s="43" t="s">
        <v>862</v>
      </c>
      <c r="C390" s="9"/>
      <c r="D390" s="9"/>
      <c r="E390" s="9"/>
      <c r="F390" s="9"/>
      <c r="G390" s="138"/>
      <c r="H390" s="9"/>
      <c r="I390" s="9"/>
      <c r="J390" s="9"/>
      <c r="K390" s="295"/>
    </row>
    <row r="391" spans="1:11" x14ac:dyDescent="0.2">
      <c r="A391" s="9"/>
      <c r="B391" s="9"/>
      <c r="C391" s="9"/>
      <c r="D391" s="9"/>
      <c r="E391" s="9"/>
      <c r="F391" s="9"/>
      <c r="G391" s="9"/>
      <c r="H391" s="9"/>
      <c r="I391" s="9"/>
      <c r="J391" s="9"/>
      <c r="K391" s="295"/>
    </row>
    <row r="392" spans="1:11" x14ac:dyDescent="0.2">
      <c r="A392" s="443" t="s">
        <v>309</v>
      </c>
      <c r="B392" s="443"/>
      <c r="C392" s="443"/>
      <c r="D392" s="443"/>
      <c r="E392" s="443"/>
      <c r="F392" s="443"/>
      <c r="G392" s="443"/>
      <c r="H392" s="443"/>
      <c r="I392" s="443"/>
      <c r="J392" s="443"/>
      <c r="K392" s="295"/>
    </row>
    <row r="393" spans="1:11" x14ac:dyDescent="0.2">
      <c r="A393" s="9"/>
      <c r="B393" s="9"/>
      <c r="C393" s="9"/>
      <c r="D393" s="9"/>
      <c r="E393" s="9"/>
      <c r="F393" s="9"/>
      <c r="G393" s="9"/>
      <c r="H393" s="9"/>
      <c r="I393" s="9"/>
      <c r="J393" s="9"/>
      <c r="K393" s="295"/>
    </row>
    <row r="394" spans="1:11" x14ac:dyDescent="0.2">
      <c r="A394" s="33" t="s">
        <v>377</v>
      </c>
      <c r="B394" s="9"/>
      <c r="C394" s="9"/>
      <c r="D394" s="34"/>
      <c r="E394" s="34" t="s">
        <v>378</v>
      </c>
      <c r="F394" s="138"/>
      <c r="G394" s="9"/>
      <c r="H394" s="34" t="s">
        <v>520</v>
      </c>
      <c r="I394" s="138"/>
      <c r="J394" s="17"/>
      <c r="K394" s="295"/>
    </row>
    <row r="395" spans="1:11" x14ac:dyDescent="0.2">
      <c r="A395" s="9"/>
      <c r="B395" s="9"/>
      <c r="C395" s="9"/>
      <c r="D395" s="9"/>
      <c r="E395" s="34" t="s">
        <v>379</v>
      </c>
      <c r="F395" s="144"/>
      <c r="G395" s="9"/>
      <c r="H395" s="34"/>
      <c r="I395" s="34" t="s">
        <v>122</v>
      </c>
      <c r="J395" s="138"/>
      <c r="K395" s="295"/>
    </row>
    <row r="396" spans="1:11" x14ac:dyDescent="0.2">
      <c r="A396" s="9"/>
      <c r="B396" s="34" t="s">
        <v>380</v>
      </c>
      <c r="C396" s="577"/>
      <c r="D396" s="577"/>
      <c r="E396" s="577"/>
      <c r="F396" s="38" t="s">
        <v>383</v>
      </c>
      <c r="G396" s="577"/>
      <c r="H396" s="577"/>
      <c r="I396" s="577"/>
      <c r="J396" s="577"/>
      <c r="K396" s="295"/>
    </row>
    <row r="397" spans="1:11" x14ac:dyDescent="0.2">
      <c r="A397" s="9"/>
      <c r="B397" s="34" t="s">
        <v>412</v>
      </c>
      <c r="C397" s="437"/>
      <c r="D397" s="437"/>
      <c r="E397" s="437"/>
      <c r="F397" s="437"/>
      <c r="G397" s="47"/>
      <c r="H397" s="47"/>
      <c r="I397" s="47"/>
      <c r="J397" s="9"/>
      <c r="K397" s="295"/>
    </row>
    <row r="398" spans="1:11" x14ac:dyDescent="0.2">
      <c r="A398" s="9"/>
      <c r="B398" s="34" t="s">
        <v>390</v>
      </c>
      <c r="C398" s="138"/>
      <c r="D398" s="9"/>
      <c r="E398" s="9"/>
      <c r="F398" s="34" t="s">
        <v>401</v>
      </c>
      <c r="G398" s="604" t="str">
        <f>IF(C257="","",C257)</f>
        <v/>
      </c>
      <c r="H398" s="604"/>
      <c r="I398" s="604"/>
      <c r="J398" s="9"/>
      <c r="K398" s="295"/>
    </row>
    <row r="399" spans="1:11" x14ac:dyDescent="0.2">
      <c r="A399" s="9"/>
      <c r="B399" s="34" t="s">
        <v>407</v>
      </c>
      <c r="C399" s="437"/>
      <c r="D399" s="437"/>
      <c r="E399" s="9"/>
      <c r="F399" s="34" t="s">
        <v>402</v>
      </c>
      <c r="G399" s="452"/>
      <c r="H399" s="452"/>
      <c r="I399" s="452"/>
      <c r="J399" s="9"/>
      <c r="K399" s="295"/>
    </row>
    <row r="400" spans="1:11" x14ac:dyDescent="0.2">
      <c r="A400" s="9"/>
      <c r="B400" s="34" t="s">
        <v>409</v>
      </c>
      <c r="C400" s="9"/>
      <c r="D400" s="9" t="s">
        <v>410</v>
      </c>
      <c r="E400" s="9"/>
      <c r="F400" s="437"/>
      <c r="G400" s="437"/>
      <c r="H400" s="437"/>
      <c r="I400" s="437"/>
      <c r="J400" s="9"/>
      <c r="K400" s="295"/>
    </row>
    <row r="401" spans="1:11" x14ac:dyDescent="0.2">
      <c r="A401" s="9"/>
      <c r="B401" s="9"/>
      <c r="C401" s="9"/>
      <c r="D401" s="9" t="s">
        <v>411</v>
      </c>
      <c r="E401" s="9"/>
      <c r="F401" s="437"/>
      <c r="G401" s="437"/>
      <c r="H401" s="437"/>
      <c r="I401" s="437"/>
      <c r="J401" s="9"/>
      <c r="K401" s="295"/>
    </row>
    <row r="402" spans="1:11" x14ac:dyDescent="0.2">
      <c r="A402" s="33" t="s">
        <v>421</v>
      </c>
      <c r="B402" s="9"/>
      <c r="C402" s="9"/>
      <c r="D402" s="9"/>
      <c r="E402" s="9"/>
      <c r="F402" s="9"/>
      <c r="G402" s="9"/>
      <c r="H402" s="9"/>
      <c r="I402" s="9"/>
      <c r="J402" s="9"/>
      <c r="K402" s="295"/>
    </row>
    <row r="403" spans="1:11" x14ac:dyDescent="0.2">
      <c r="A403" s="9"/>
      <c r="B403" s="34" t="s">
        <v>413</v>
      </c>
      <c r="C403" s="432"/>
      <c r="D403" s="432"/>
      <c r="E403" s="432"/>
      <c r="F403" s="432"/>
      <c r="G403" s="9" t="s">
        <v>420</v>
      </c>
      <c r="H403" s="138"/>
      <c r="I403" s="9"/>
      <c r="J403" s="9"/>
      <c r="K403" s="295"/>
    </row>
    <row r="404" spans="1:11" x14ac:dyDescent="0.2">
      <c r="A404" s="9"/>
      <c r="B404" s="34" t="s">
        <v>413</v>
      </c>
      <c r="C404" s="432"/>
      <c r="D404" s="432"/>
      <c r="E404" s="432"/>
      <c r="F404" s="432"/>
      <c r="G404" s="9" t="s">
        <v>420</v>
      </c>
      <c r="H404" s="144"/>
      <c r="I404" s="9"/>
      <c r="J404" s="9"/>
      <c r="K404" s="295"/>
    </row>
    <row r="405" spans="1:11" x14ac:dyDescent="0.2">
      <c r="A405" s="9"/>
      <c r="B405" s="34" t="s">
        <v>413</v>
      </c>
      <c r="C405" s="432"/>
      <c r="D405" s="432"/>
      <c r="E405" s="432"/>
      <c r="F405" s="432"/>
      <c r="G405" s="9" t="s">
        <v>420</v>
      </c>
      <c r="H405" s="144"/>
      <c r="I405" s="9"/>
      <c r="J405" s="9"/>
      <c r="K405" s="295"/>
    </row>
    <row r="406" spans="1:11" x14ac:dyDescent="0.2">
      <c r="A406" s="9"/>
      <c r="B406" s="43" t="s">
        <v>414</v>
      </c>
      <c r="C406" s="9"/>
      <c r="D406" s="9"/>
      <c r="E406" s="9"/>
      <c r="F406" s="9"/>
      <c r="G406" s="9" t="s">
        <v>420</v>
      </c>
      <c r="H406" s="144"/>
      <c r="I406" s="9"/>
      <c r="J406" s="9"/>
      <c r="K406" s="295"/>
    </row>
    <row r="407" spans="1:11" x14ac:dyDescent="0.2">
      <c r="A407" s="9"/>
      <c r="B407" s="43" t="s">
        <v>423</v>
      </c>
      <c r="C407" s="9"/>
      <c r="D407" s="9"/>
      <c r="E407" s="9"/>
      <c r="F407" s="9"/>
      <c r="G407" s="9" t="s">
        <v>420</v>
      </c>
      <c r="H407" s="144"/>
      <c r="I407" s="9"/>
      <c r="J407" s="9"/>
      <c r="K407" s="295"/>
    </row>
    <row r="408" spans="1:11" x14ac:dyDescent="0.2">
      <c r="A408" s="9"/>
      <c r="B408" s="43" t="s">
        <v>424</v>
      </c>
      <c r="C408" s="9"/>
      <c r="D408" s="9"/>
      <c r="E408" s="9"/>
      <c r="F408" s="9"/>
      <c r="G408" s="9" t="s">
        <v>420</v>
      </c>
      <c r="H408" s="144"/>
      <c r="I408" s="9"/>
      <c r="J408" s="9"/>
      <c r="K408" s="295"/>
    </row>
    <row r="409" spans="1:11" x14ac:dyDescent="0.2">
      <c r="A409" s="9"/>
      <c r="B409" s="43" t="s">
        <v>425</v>
      </c>
      <c r="C409" s="9"/>
      <c r="D409" s="9"/>
      <c r="E409" s="9"/>
      <c r="F409" s="9"/>
      <c r="G409" s="9"/>
      <c r="H409" s="9"/>
      <c r="I409" s="9"/>
      <c r="J409" s="9"/>
      <c r="K409" s="295"/>
    </row>
    <row r="410" spans="1:11" ht="13.5" thickBot="1" x14ac:dyDescent="0.25">
      <c r="A410" s="9"/>
      <c r="B410" s="135"/>
      <c r="C410" s="9" t="s">
        <v>426</v>
      </c>
      <c r="D410" s="9"/>
      <c r="E410" s="9"/>
      <c r="F410" s="9"/>
      <c r="G410" s="9"/>
      <c r="H410" s="9"/>
      <c r="I410" s="9"/>
      <c r="J410" s="9"/>
      <c r="K410" s="295"/>
    </row>
    <row r="411" spans="1:11" x14ac:dyDescent="0.2">
      <c r="A411" s="9"/>
      <c r="B411" s="48" t="s">
        <v>427</v>
      </c>
      <c r="C411" s="9"/>
      <c r="D411" s="9"/>
      <c r="E411" s="9"/>
      <c r="F411" s="9"/>
      <c r="G411" s="9"/>
      <c r="H411" s="9"/>
      <c r="I411" s="9"/>
      <c r="J411" s="9"/>
      <c r="K411" s="295"/>
    </row>
    <row r="412" spans="1:11" x14ac:dyDescent="0.2">
      <c r="A412" s="33" t="s">
        <v>428</v>
      </c>
      <c r="B412" s="9"/>
      <c r="C412" s="9"/>
      <c r="D412" s="9"/>
      <c r="E412" s="9"/>
      <c r="F412" s="9"/>
      <c r="G412" s="9"/>
      <c r="H412" s="9"/>
      <c r="I412" s="9"/>
      <c r="J412" s="9"/>
      <c r="K412" s="295"/>
    </row>
    <row r="413" spans="1:11" ht="12.75" customHeight="1" x14ac:dyDescent="0.2">
      <c r="A413" s="9" t="s">
        <v>429</v>
      </c>
      <c r="B413" s="9"/>
      <c r="C413" s="9"/>
      <c r="D413" s="432"/>
      <c r="E413" s="432"/>
      <c r="F413" s="432"/>
      <c r="G413" s="432"/>
      <c r="H413" s="432"/>
      <c r="I413" s="432"/>
      <c r="J413" s="432"/>
      <c r="K413" s="295"/>
    </row>
    <row r="414" spans="1:11" x14ac:dyDescent="0.2">
      <c r="A414" s="9" t="s">
        <v>34</v>
      </c>
      <c r="B414" s="9"/>
      <c r="C414" s="9"/>
      <c r="D414" s="432"/>
      <c r="E414" s="432"/>
      <c r="F414" s="432"/>
      <c r="G414" s="432"/>
      <c r="H414" s="432"/>
      <c r="I414" s="432"/>
      <c r="J414" s="432"/>
      <c r="K414" s="295"/>
    </row>
    <row r="415" spans="1:11" x14ac:dyDescent="0.2">
      <c r="A415" s="9"/>
      <c r="B415" s="34" t="s">
        <v>35</v>
      </c>
      <c r="C415" s="145"/>
      <c r="D415" s="9" t="s">
        <v>253</v>
      </c>
      <c r="E415" s="9"/>
      <c r="F415" s="9"/>
      <c r="G415" s="9"/>
      <c r="H415" s="9"/>
      <c r="I415" s="9"/>
      <c r="J415" s="9"/>
      <c r="K415" s="295"/>
    </row>
    <row r="416" spans="1:11" ht="13.5" thickBot="1" x14ac:dyDescent="0.25">
      <c r="A416" s="135"/>
      <c r="B416" s="9" t="s">
        <v>430</v>
      </c>
      <c r="C416" s="9"/>
      <c r="D416" s="135"/>
      <c r="E416" s="9" t="s">
        <v>433</v>
      </c>
      <c r="F416" s="9"/>
      <c r="G416" s="135"/>
      <c r="H416" s="9" t="s">
        <v>123</v>
      </c>
      <c r="I416" s="9"/>
      <c r="J416" s="9"/>
      <c r="K416" s="295"/>
    </row>
    <row r="417" spans="1:12" ht="13.5" thickBot="1" x14ac:dyDescent="0.25">
      <c r="A417" s="135"/>
      <c r="B417" s="18" t="s">
        <v>431</v>
      </c>
      <c r="C417" s="9"/>
      <c r="D417" s="135"/>
      <c r="E417" s="9" t="s">
        <v>434</v>
      </c>
      <c r="F417" s="9"/>
      <c r="G417" s="135"/>
      <c r="H417" s="9" t="s">
        <v>436</v>
      </c>
      <c r="I417" s="9"/>
      <c r="J417" s="9"/>
      <c r="K417" s="295"/>
    </row>
    <row r="418" spans="1:12" ht="13.5" thickBot="1" x14ac:dyDescent="0.25">
      <c r="A418" s="135"/>
      <c r="B418" s="18" t="s">
        <v>432</v>
      </c>
      <c r="C418" s="9"/>
      <c r="D418" s="135"/>
      <c r="E418" s="9" t="s">
        <v>438</v>
      </c>
      <c r="F418" s="9"/>
      <c r="G418" s="135"/>
      <c r="H418" s="9" t="s">
        <v>437</v>
      </c>
      <c r="I418" s="9"/>
      <c r="J418" s="9"/>
      <c r="K418" s="295"/>
    </row>
    <row r="419" spans="1:12" ht="13.5" thickBot="1" x14ac:dyDescent="0.25">
      <c r="A419" s="135"/>
      <c r="B419" s="18" t="s">
        <v>439</v>
      </c>
      <c r="C419" s="9"/>
      <c r="D419" s="135"/>
      <c r="E419" s="18" t="s">
        <v>435</v>
      </c>
      <c r="F419" s="9"/>
      <c r="G419" s="135"/>
      <c r="H419" s="18" t="s">
        <v>440</v>
      </c>
      <c r="I419" s="437"/>
      <c r="J419" s="437"/>
      <c r="K419" s="295"/>
    </row>
    <row r="420" spans="1:12" x14ac:dyDescent="0.2">
      <c r="A420" s="9"/>
      <c r="B420" s="9"/>
      <c r="C420" s="9"/>
      <c r="D420" s="9"/>
      <c r="E420" s="9"/>
      <c r="F420" s="9"/>
      <c r="G420" s="9"/>
      <c r="H420" s="9"/>
      <c r="I420" s="9"/>
      <c r="J420" s="9"/>
      <c r="K420" s="295"/>
    </row>
    <row r="421" spans="1:12" x14ac:dyDescent="0.2">
      <c r="A421" s="9" t="s">
        <v>441</v>
      </c>
      <c r="B421" s="9"/>
      <c r="C421" s="438">
        <f>C422+I421+I422</f>
        <v>0</v>
      </c>
      <c r="D421" s="611"/>
      <c r="E421" s="9"/>
      <c r="F421" s="9" t="s">
        <v>444</v>
      </c>
      <c r="G421" s="9"/>
      <c r="H421" s="9"/>
      <c r="I421" s="438">
        <f>C415</f>
        <v>0</v>
      </c>
      <c r="J421" s="438"/>
      <c r="K421" s="295"/>
    </row>
    <row r="422" spans="1:12" ht="12.75" customHeight="1" x14ac:dyDescent="0.2">
      <c r="A422" s="9" t="s">
        <v>442</v>
      </c>
      <c r="B422" s="9"/>
      <c r="C422" s="438">
        <f>J1045</f>
        <v>0</v>
      </c>
      <c r="D422" s="611"/>
      <c r="E422" s="9"/>
      <c r="F422" s="9" t="s">
        <v>443</v>
      </c>
      <c r="G422" s="9"/>
      <c r="H422" s="9"/>
      <c r="I422" s="439"/>
      <c r="J422" s="439"/>
      <c r="K422" s="295"/>
    </row>
    <row r="423" spans="1:12" ht="12.75" customHeight="1" x14ac:dyDescent="0.2">
      <c r="A423" s="9"/>
      <c r="B423" s="9"/>
      <c r="C423" s="9"/>
      <c r="D423" s="9"/>
      <c r="E423" s="9"/>
      <c r="F423" s="9"/>
      <c r="G423" s="9"/>
      <c r="H423" s="9"/>
      <c r="I423" s="9"/>
      <c r="J423" s="9"/>
      <c r="K423" s="295"/>
    </row>
    <row r="424" spans="1:12" x14ac:dyDescent="0.2">
      <c r="A424" s="435" t="s">
        <v>0</v>
      </c>
      <c r="B424" s="435"/>
      <c r="C424" s="435"/>
      <c r="D424" s="435"/>
      <c r="E424" s="435"/>
      <c r="F424" s="435"/>
      <c r="G424" s="435"/>
      <c r="H424" s="435"/>
      <c r="I424" s="435"/>
      <c r="J424" s="435"/>
      <c r="K424" s="295"/>
    </row>
    <row r="425" spans="1:12" x14ac:dyDescent="0.2">
      <c r="A425" s="435"/>
      <c r="B425" s="435"/>
      <c r="C425" s="435"/>
      <c r="D425" s="435"/>
      <c r="E425" s="435"/>
      <c r="F425" s="435"/>
      <c r="G425" s="435"/>
      <c r="H425" s="435"/>
      <c r="I425" s="435"/>
      <c r="J425" s="435"/>
      <c r="K425" s="295"/>
    </row>
    <row r="426" spans="1:12" x14ac:dyDescent="0.2">
      <c r="A426" s="76"/>
      <c r="B426" s="76"/>
      <c r="C426" s="76"/>
      <c r="D426" s="76"/>
      <c r="E426" s="76"/>
      <c r="F426" s="76"/>
      <c r="G426" s="76"/>
      <c r="H426" s="76"/>
      <c r="I426" s="76"/>
      <c r="J426" s="76"/>
      <c r="K426" s="295"/>
    </row>
    <row r="427" spans="1:12" ht="12.75" customHeight="1" x14ac:dyDescent="0.2">
      <c r="A427" s="441" t="s">
        <v>1060</v>
      </c>
      <c r="B427" s="441"/>
      <c r="C427" s="441"/>
      <c r="D427" s="441"/>
      <c r="E427" s="441"/>
      <c r="F427" s="441"/>
      <c r="G427" s="441"/>
      <c r="H427" s="441"/>
      <c r="I427" s="441"/>
      <c r="J427" s="441"/>
      <c r="K427" s="295"/>
    </row>
    <row r="428" spans="1:12" ht="13.15" customHeight="1" x14ac:dyDescent="0.2">
      <c r="A428" s="441" t="s">
        <v>1061</v>
      </c>
      <c r="B428" s="441"/>
      <c r="C428" s="441"/>
      <c r="D428" s="441"/>
      <c r="E428" s="441"/>
      <c r="F428" s="441"/>
      <c r="G428" s="441"/>
      <c r="H428" s="441"/>
      <c r="I428" s="441"/>
      <c r="J428" s="441"/>
      <c r="K428" s="295"/>
    </row>
    <row r="429" spans="1:12" ht="13.15" customHeight="1" x14ac:dyDescent="0.2">
      <c r="A429" s="441" t="s">
        <v>88</v>
      </c>
      <c r="B429" s="441"/>
      <c r="C429" s="441"/>
      <c r="D429" s="441"/>
      <c r="E429" s="441"/>
      <c r="F429" s="441"/>
      <c r="G429" s="441"/>
      <c r="H429" s="441"/>
      <c r="I429" s="441"/>
      <c r="J429" s="441"/>
      <c r="K429" s="295"/>
      <c r="L429" s="23" t="s">
        <v>227</v>
      </c>
    </row>
    <row r="430" spans="1:12" ht="13.15" customHeight="1" x14ac:dyDescent="0.2">
      <c r="A430" s="26"/>
      <c r="B430" s="9"/>
      <c r="C430" s="9"/>
      <c r="D430" s="446" t="str">
        <f>IF($B$229="","",$B$229)</f>
        <v/>
      </c>
      <c r="E430" s="446"/>
      <c r="F430" s="446"/>
      <c r="G430" s="446"/>
      <c r="H430" s="9"/>
      <c r="I430" s="27"/>
      <c r="J430" s="9"/>
      <c r="K430" s="295"/>
      <c r="L430" s="23" t="s">
        <v>226</v>
      </c>
    </row>
    <row r="431" spans="1:12" ht="13.15" customHeight="1" x14ac:dyDescent="0.2">
      <c r="A431" s="9"/>
      <c r="B431" s="9"/>
      <c r="C431" s="9"/>
      <c r="D431" s="443" t="s">
        <v>1143</v>
      </c>
      <c r="E431" s="443"/>
      <c r="F431" s="443"/>
      <c r="G431" s="443"/>
      <c r="H431" s="9"/>
      <c r="I431" s="9"/>
      <c r="J431" s="9"/>
      <c r="K431" s="295"/>
      <c r="L431" s="23" t="s">
        <v>211</v>
      </c>
    </row>
    <row r="432" spans="1:12" ht="12.75" customHeight="1" x14ac:dyDescent="0.2">
      <c r="A432" s="443" t="s">
        <v>1121</v>
      </c>
      <c r="B432" s="443"/>
      <c r="C432" s="443"/>
      <c r="D432" s="443"/>
      <c r="E432" s="443"/>
      <c r="F432" s="443"/>
      <c r="G432" s="443"/>
      <c r="H432" s="443"/>
      <c r="I432" s="443"/>
      <c r="J432" s="443"/>
      <c r="K432" s="295"/>
    </row>
    <row r="433" spans="1:12" x14ac:dyDescent="0.2">
      <c r="A433" s="128"/>
      <c r="B433" s="128"/>
      <c r="C433" s="128"/>
      <c r="D433" s="128"/>
      <c r="E433" s="128"/>
      <c r="F433" s="128"/>
      <c r="G433" s="128"/>
      <c r="H433" s="128"/>
      <c r="I433" s="128"/>
      <c r="J433" s="128"/>
      <c r="K433" s="295"/>
    </row>
    <row r="434" spans="1:12" ht="12.75" customHeight="1" x14ac:dyDescent="0.2">
      <c r="A434" s="440" t="s">
        <v>1128</v>
      </c>
      <c r="B434" s="435"/>
      <c r="C434" s="435"/>
      <c r="D434" s="435"/>
      <c r="E434" s="435"/>
      <c r="F434" s="435"/>
      <c r="G434" s="435"/>
      <c r="H434" s="435"/>
      <c r="I434" s="435"/>
      <c r="J434" s="435"/>
      <c r="K434" s="295"/>
    </row>
    <row r="435" spans="1:12" x14ac:dyDescent="0.2">
      <c r="A435" s="435"/>
      <c r="B435" s="435"/>
      <c r="C435" s="435"/>
      <c r="D435" s="435"/>
      <c r="E435" s="435"/>
      <c r="F435" s="435"/>
      <c r="G435" s="435"/>
      <c r="H435" s="435"/>
      <c r="I435" s="435"/>
      <c r="J435" s="435"/>
      <c r="K435" s="295"/>
    </row>
    <row r="436" spans="1:12" ht="12.75" customHeight="1" x14ac:dyDescent="0.2">
      <c r="A436" s="435"/>
      <c r="B436" s="435"/>
      <c r="C436" s="435"/>
      <c r="D436" s="435"/>
      <c r="E436" s="435"/>
      <c r="F436" s="435"/>
      <c r="G436" s="435"/>
      <c r="H436" s="435"/>
      <c r="I436" s="435"/>
      <c r="J436" s="435"/>
      <c r="K436" s="295"/>
    </row>
    <row r="437" spans="1:12" x14ac:dyDescent="0.2">
      <c r="A437" s="435"/>
      <c r="B437" s="435"/>
      <c r="C437" s="435"/>
      <c r="D437" s="435"/>
      <c r="E437" s="435"/>
      <c r="F437" s="435"/>
      <c r="G437" s="435"/>
      <c r="H437" s="435"/>
      <c r="I437" s="435"/>
      <c r="J437" s="435"/>
      <c r="K437" s="295"/>
      <c r="L437" s="23" t="s">
        <v>389</v>
      </c>
    </row>
    <row r="438" spans="1:12" ht="12.75" customHeight="1" x14ac:dyDescent="0.2">
      <c r="A438" s="435"/>
      <c r="B438" s="435"/>
      <c r="C438" s="435"/>
      <c r="D438" s="435"/>
      <c r="E438" s="435"/>
      <c r="F438" s="435"/>
      <c r="G438" s="435"/>
      <c r="H438" s="435"/>
      <c r="I438" s="435"/>
      <c r="J438" s="435"/>
      <c r="K438" s="295"/>
      <c r="L438" s="23" t="s">
        <v>482</v>
      </c>
    </row>
    <row r="439" spans="1:12" x14ac:dyDescent="0.2">
      <c r="A439" s="435"/>
      <c r="B439" s="435"/>
      <c r="C439" s="435"/>
      <c r="D439" s="435"/>
      <c r="E439" s="435"/>
      <c r="F439" s="435"/>
      <c r="G439" s="435"/>
      <c r="H439" s="435"/>
      <c r="I439" s="435"/>
      <c r="J439" s="435"/>
      <c r="K439" s="295"/>
      <c r="L439" s="23" t="s">
        <v>483</v>
      </c>
    </row>
    <row r="440" spans="1:12" x14ac:dyDescent="0.2">
      <c r="A440" s="435"/>
      <c r="B440" s="435"/>
      <c r="C440" s="435"/>
      <c r="D440" s="435"/>
      <c r="E440" s="435"/>
      <c r="F440" s="435"/>
      <c r="G440" s="435"/>
      <c r="H440" s="435"/>
      <c r="I440" s="435"/>
      <c r="J440" s="435"/>
      <c r="K440" s="295"/>
    </row>
    <row r="441" spans="1:12" ht="12.75" customHeight="1" x14ac:dyDescent="0.2">
      <c r="A441" s="435"/>
      <c r="B441" s="435"/>
      <c r="C441" s="435"/>
      <c r="D441" s="435"/>
      <c r="E441" s="435"/>
      <c r="F441" s="435"/>
      <c r="G441" s="435"/>
      <c r="H441" s="435"/>
      <c r="I441" s="435"/>
      <c r="J441" s="435"/>
      <c r="K441" s="295"/>
      <c r="L441" s="23" t="s">
        <v>484</v>
      </c>
    </row>
    <row r="442" spans="1:12" x14ac:dyDescent="0.2">
      <c r="A442" s="435"/>
      <c r="B442" s="435"/>
      <c r="C442" s="435"/>
      <c r="D442" s="435"/>
      <c r="E442" s="435"/>
      <c r="F442" s="435"/>
      <c r="G442" s="435"/>
      <c r="H442" s="435"/>
      <c r="I442" s="435"/>
      <c r="J442" s="435"/>
      <c r="K442" s="295"/>
    </row>
    <row r="443" spans="1:12" x14ac:dyDescent="0.2">
      <c r="A443" s="370"/>
      <c r="B443" s="370"/>
      <c r="C443" s="370"/>
      <c r="D443" s="370"/>
      <c r="E443" s="370"/>
      <c r="F443" s="370"/>
      <c r="G443" s="370"/>
      <c r="H443" s="370"/>
      <c r="I443" s="370"/>
      <c r="J443" s="370"/>
      <c r="K443" s="295"/>
    </row>
    <row r="444" spans="1:12" x14ac:dyDescent="0.2">
      <c r="A444" s="127" t="s">
        <v>1065</v>
      </c>
      <c r="B444" s="127"/>
      <c r="C444" s="124"/>
      <c r="D444" s="124"/>
      <c r="E444" s="124"/>
      <c r="F444" s="124"/>
      <c r="G444" s="124"/>
      <c r="H444" s="610" t="s">
        <v>44</v>
      </c>
      <c r="I444" s="610"/>
      <c r="J444" s="610"/>
      <c r="K444" s="295"/>
    </row>
    <row r="445" spans="1:12" x14ac:dyDescent="0.2">
      <c r="A445" s="127"/>
      <c r="B445" s="127"/>
      <c r="C445" s="124"/>
      <c r="D445" s="124"/>
      <c r="E445" s="124"/>
      <c r="F445" s="124"/>
      <c r="G445" s="124"/>
      <c r="H445" s="372"/>
      <c r="I445" s="372"/>
      <c r="J445" s="372"/>
      <c r="K445" s="295"/>
    </row>
    <row r="446" spans="1:12" x14ac:dyDescent="0.2">
      <c r="A446" s="36" t="s">
        <v>1111</v>
      </c>
      <c r="B446" s="1"/>
      <c r="C446" s="1"/>
      <c r="D446" s="1"/>
      <c r="E446" s="1"/>
      <c r="F446" s="1"/>
      <c r="G446" s="1"/>
      <c r="H446"/>
      <c r="I446"/>
      <c r="J446" s="9"/>
      <c r="K446" s="295"/>
    </row>
    <row r="447" spans="1:12" ht="13.5" thickBot="1" x14ac:dyDescent="0.25">
      <c r="A447" s="9"/>
      <c r="B447" s="9" t="s">
        <v>448</v>
      </c>
      <c r="C447" s="9"/>
      <c r="D447" s="9"/>
      <c r="E447" s="9"/>
      <c r="F447" s="9"/>
      <c r="G447" s="137"/>
      <c r="H447" s="571" t="s">
        <v>257</v>
      </c>
      <c r="I447" s="606"/>
      <c r="J447" s="606"/>
      <c r="K447" s="295"/>
    </row>
    <row r="448" spans="1:12" ht="12" customHeight="1" x14ac:dyDescent="0.2">
      <c r="A448" s="1"/>
      <c r="B448" s="570" t="s">
        <v>1040</v>
      </c>
      <c r="C448" s="570"/>
      <c r="D448" s="570"/>
      <c r="E448" s="570"/>
      <c r="F448" s="570"/>
      <c r="G448" s="570"/>
      <c r="H448" s="570"/>
      <c r="I448" s="570"/>
      <c r="J448" s="570"/>
      <c r="K448" s="295"/>
    </row>
    <row r="449" spans="1:11" ht="13.5" thickBot="1" x14ac:dyDescent="0.25">
      <c r="A449" s="9"/>
      <c r="B449" s="9" t="s">
        <v>449</v>
      </c>
      <c r="C449" s="9"/>
      <c r="D449" s="9"/>
      <c r="E449" s="9"/>
      <c r="F449" s="9"/>
      <c r="G449" s="137"/>
      <c r="H449" s="571" t="s">
        <v>256</v>
      </c>
      <c r="I449" s="572"/>
      <c r="J449" s="572"/>
      <c r="K449" s="295"/>
    </row>
    <row r="450" spans="1:11" x14ac:dyDescent="0.2">
      <c r="A450" s="1"/>
      <c r="B450" s="570" t="s">
        <v>1041</v>
      </c>
      <c r="C450" s="570"/>
      <c r="D450" s="570"/>
      <c r="E450" s="570"/>
      <c r="F450" s="570"/>
      <c r="G450" s="570"/>
      <c r="H450" s="570"/>
      <c r="I450" s="570"/>
      <c r="J450" s="570"/>
      <c r="K450" s="295"/>
    </row>
    <row r="451" spans="1:11" x14ac:dyDescent="0.2">
      <c r="A451" s="1"/>
      <c r="B451" s="371"/>
      <c r="C451" s="371"/>
      <c r="D451" s="371"/>
      <c r="E451" s="371"/>
      <c r="F451" s="371"/>
      <c r="G451" s="371"/>
      <c r="H451" s="371"/>
      <c r="I451" s="371"/>
      <c r="J451" s="371"/>
      <c r="K451" s="295"/>
    </row>
    <row r="452" spans="1:11" ht="12.75" customHeight="1" x14ac:dyDescent="0.2">
      <c r="A452" s="36" t="s">
        <v>255</v>
      </c>
      <c r="B452" s="36"/>
      <c r="C452" s="1"/>
      <c r="D452" s="1"/>
      <c r="E452" s="1"/>
      <c r="F452" s="1"/>
      <c r="G452" s="1"/>
      <c r="H452" s="1"/>
      <c r="I452" s="1"/>
      <c r="J452" s="9"/>
      <c r="K452" s="295"/>
    </row>
    <row r="453" spans="1:11" x14ac:dyDescent="0.2">
      <c r="A453" s="9"/>
      <c r="B453" s="9"/>
      <c r="C453" s="9"/>
      <c r="D453" s="373" t="s">
        <v>1112</v>
      </c>
      <c r="E453" s="146"/>
      <c r="F453" s="26" t="s">
        <v>41</v>
      </c>
      <c r="G453" s="9"/>
      <c r="H453" s="9"/>
      <c r="I453" s="9"/>
      <c r="J453" s="9"/>
      <c r="K453" s="295"/>
    </row>
    <row r="454" spans="1:11" x14ac:dyDescent="0.2">
      <c r="A454" s="9"/>
      <c r="B454" s="9"/>
      <c r="C454" s="9"/>
      <c r="D454" s="34" t="s">
        <v>252</v>
      </c>
      <c r="E454" s="146"/>
      <c r="F454" s="26" t="s">
        <v>42</v>
      </c>
      <c r="G454" s="9"/>
      <c r="H454" s="1"/>
      <c r="I454" s="9"/>
      <c r="J454" s="9"/>
      <c r="K454" s="295"/>
    </row>
    <row r="455" spans="1:11" ht="13.5" thickBot="1" x14ac:dyDescent="0.25">
      <c r="A455" s="374"/>
      <c r="B455" s="374"/>
      <c r="C455" s="374"/>
      <c r="D455" s="374"/>
      <c r="E455" s="373" t="s">
        <v>1113</v>
      </c>
      <c r="F455" s="137"/>
      <c r="G455" s="374"/>
      <c r="H455" s="374"/>
      <c r="I455" s="374"/>
      <c r="J455" s="374"/>
      <c r="K455" s="295"/>
    </row>
    <row r="456" spans="1:11" x14ac:dyDescent="0.2">
      <c r="A456" s="9"/>
      <c r="B456" s="9"/>
      <c r="C456" s="9"/>
      <c r="D456" s="9"/>
      <c r="E456" s="9"/>
      <c r="F456" s="9"/>
      <c r="G456" s="9"/>
      <c r="H456"/>
      <c r="I456" s="9"/>
      <c r="J456" s="9"/>
      <c r="K456" s="295"/>
    </row>
    <row r="457" spans="1:11" s="375" customFormat="1" x14ac:dyDescent="0.2">
      <c r="A457" s="36" t="s">
        <v>1114</v>
      </c>
      <c r="B457" s="36"/>
      <c r="C457" s="1"/>
      <c r="D457" s="1"/>
      <c r="E457" s="1"/>
      <c r="F457" s="1"/>
      <c r="G457" s="1"/>
      <c r="H457" s="1"/>
      <c r="I457" s="1"/>
      <c r="J457" s="374"/>
    </row>
    <row r="458" spans="1:11" s="375" customFormat="1" x14ac:dyDescent="0.2">
      <c r="A458" s="1"/>
      <c r="B458" s="608" t="s">
        <v>1115</v>
      </c>
      <c r="C458" s="608"/>
      <c r="D458" s="608"/>
      <c r="E458" s="608"/>
      <c r="F458" s="608"/>
      <c r="G458" s="608"/>
      <c r="H458" s="608"/>
      <c r="I458" s="608"/>
      <c r="J458" s="374"/>
    </row>
    <row r="459" spans="1:11" s="375" customFormat="1" x14ac:dyDescent="0.2">
      <c r="A459" s="1"/>
      <c r="B459" s="608" t="s">
        <v>1116</v>
      </c>
      <c r="C459" s="608"/>
      <c r="D459" s="631" t="s">
        <v>1117</v>
      </c>
      <c r="E459" s="631"/>
      <c r="F459" s="631"/>
      <c r="G459" s="631"/>
      <c r="H459" s="631"/>
      <c r="I459" s="631"/>
      <c r="J459" s="631"/>
    </row>
    <row r="460" spans="1:11" s="375" customFormat="1" x14ac:dyDescent="0.2">
      <c r="A460"/>
      <c r="B460"/>
      <c r="C460"/>
      <c r="D460"/>
      <c r="E460"/>
      <c r="F460"/>
      <c r="G460"/>
      <c r="H460"/>
      <c r="I460"/>
      <c r="J460"/>
    </row>
    <row r="461" spans="1:11" x14ac:dyDescent="0.2">
      <c r="A461" s="443" t="s">
        <v>1026</v>
      </c>
      <c r="B461" s="443"/>
      <c r="C461" s="443"/>
      <c r="D461" s="443"/>
      <c r="E461" s="443"/>
      <c r="F461" s="443"/>
      <c r="G461" s="443"/>
      <c r="H461" s="443"/>
      <c r="I461" s="443"/>
      <c r="J461" s="443"/>
      <c r="K461" s="295"/>
    </row>
    <row r="462" spans="1:11" x14ac:dyDescent="0.2">
      <c r="A462" s="9"/>
      <c r="B462" s="9"/>
      <c r="C462" s="9"/>
      <c r="D462" s="9"/>
      <c r="E462" s="9"/>
      <c r="F462" s="9"/>
      <c r="G462" s="9"/>
      <c r="H462" s="9"/>
      <c r="I462" s="9"/>
      <c r="J462" s="9"/>
      <c r="K462" s="295"/>
    </row>
    <row r="463" spans="1:11" x14ac:dyDescent="0.2">
      <c r="A463" s="112"/>
      <c r="B463" s="312" t="s">
        <v>1068</v>
      </c>
      <c r="C463" s="72"/>
      <c r="D463" s="72"/>
      <c r="E463" s="609" t="s">
        <v>111</v>
      </c>
      <c r="F463" s="609"/>
      <c r="G463" s="442" t="s">
        <v>110</v>
      </c>
      <c r="H463" s="442"/>
      <c r="I463" s="442"/>
      <c r="J463" s="9"/>
      <c r="K463" s="295"/>
    </row>
    <row r="464" spans="1:11" x14ac:dyDescent="0.2">
      <c r="A464" s="44"/>
      <c r="B464" s="161" t="s">
        <v>112</v>
      </c>
      <c r="C464" s="161"/>
      <c r="D464" s="161"/>
      <c r="E464" s="469" t="s">
        <v>113</v>
      </c>
      <c r="F464" s="470"/>
      <c r="G464" s="436" t="s">
        <v>114</v>
      </c>
      <c r="H464" s="436"/>
      <c r="I464" s="436"/>
      <c r="J464" s="9"/>
      <c r="K464" s="295"/>
    </row>
    <row r="465" spans="1:11" x14ac:dyDescent="0.2">
      <c r="A465" s="44"/>
      <c r="B465" s="161" t="s">
        <v>112</v>
      </c>
      <c r="C465" s="161"/>
      <c r="D465" s="161"/>
      <c r="E465" s="469" t="s">
        <v>115</v>
      </c>
      <c r="F465" s="470"/>
      <c r="G465" s="436" t="s">
        <v>136</v>
      </c>
      <c r="H465" s="436"/>
      <c r="I465" s="436"/>
      <c r="J465" s="9"/>
      <c r="K465" s="295"/>
    </row>
    <row r="466" spans="1:11" x14ac:dyDescent="0.2">
      <c r="A466" s="44"/>
      <c r="B466" s="161" t="s">
        <v>140</v>
      </c>
      <c r="C466" s="161"/>
      <c r="D466" s="161"/>
      <c r="E466" s="469" t="s">
        <v>135</v>
      </c>
      <c r="F466" s="470"/>
      <c r="G466" s="436" t="s">
        <v>137</v>
      </c>
      <c r="H466" s="436"/>
      <c r="I466" s="436"/>
      <c r="J466" s="9"/>
      <c r="K466" s="295"/>
    </row>
    <row r="467" spans="1:11" x14ac:dyDescent="0.2">
      <c r="A467" s="44"/>
      <c r="B467" s="161" t="s">
        <v>139</v>
      </c>
      <c r="C467" s="161"/>
      <c r="D467" s="161"/>
      <c r="E467" s="566" t="str">
        <f>IF(C257="New Construction","Yes","No")</f>
        <v>No</v>
      </c>
      <c r="F467" s="567"/>
      <c r="G467" s="436" t="s">
        <v>138</v>
      </c>
      <c r="H467" s="436"/>
      <c r="I467" s="436"/>
      <c r="J467" s="9"/>
      <c r="K467" s="295"/>
    </row>
    <row r="468" spans="1:11" x14ac:dyDescent="0.2">
      <c r="A468" s="9"/>
      <c r="B468" s="1"/>
      <c r="C468" s="34" t="s">
        <v>141</v>
      </c>
      <c r="D468" s="519" t="str">
        <f>IF(J945="","",D913/J945)</f>
        <v/>
      </c>
      <c r="E468" s="555"/>
      <c r="F468" s="9"/>
      <c r="G468" s="1"/>
      <c r="H468" s="34" t="s">
        <v>142</v>
      </c>
      <c r="I468" s="565" t="str">
        <f>IF(J945="","",IF(E467="Yes","20 Years",IF(D468&gt;40000,"15 Years",IF(D468&lt;40000,"10 Years",IF(D468&lt;15000,"5 Years","15 Years")))))</f>
        <v/>
      </c>
      <c r="J468" s="520"/>
      <c r="K468" s="295"/>
    </row>
    <row r="469" spans="1:11" x14ac:dyDescent="0.2">
      <c r="A469" s="1"/>
      <c r="B469" s="1"/>
      <c r="C469" s="1"/>
      <c r="D469" s="1"/>
      <c r="E469" s="1"/>
      <c r="F469" s="1"/>
      <c r="G469" s="1"/>
      <c r="H469" s="1"/>
      <c r="I469" s="1"/>
      <c r="J469" s="9"/>
      <c r="K469" s="295"/>
    </row>
    <row r="470" spans="1:11" x14ac:dyDescent="0.2">
      <c r="A470" s="443" t="s">
        <v>258</v>
      </c>
      <c r="B470" s="443"/>
      <c r="C470" s="443"/>
      <c r="D470" s="443"/>
      <c r="E470" s="443"/>
      <c r="F470" s="443"/>
      <c r="G470" s="443"/>
      <c r="H470" s="443"/>
      <c r="I470" s="443"/>
      <c r="J470" s="443"/>
      <c r="K470" s="295"/>
    </row>
    <row r="471" spans="1:11" x14ac:dyDescent="0.2">
      <c r="A471" s="9"/>
      <c r="B471" s="1"/>
      <c r="C471" s="1"/>
      <c r="D471" s="1"/>
      <c r="E471" s="1"/>
      <c r="F471" s="1"/>
      <c r="G471" s="1"/>
      <c r="H471" s="1"/>
      <c r="I471" s="1"/>
      <c r="J471" s="9"/>
      <c r="K471" s="295"/>
    </row>
    <row r="472" spans="1:11" x14ac:dyDescent="0.2">
      <c r="A472" s="36" t="s">
        <v>595</v>
      </c>
      <c r="B472" s="1"/>
      <c r="C472" s="1"/>
      <c r="D472" s="1"/>
      <c r="E472" s="1"/>
      <c r="F472" s="1"/>
      <c r="G472" s="1"/>
      <c r="H472" s="1"/>
      <c r="I472" s="1"/>
      <c r="J472" s="9"/>
      <c r="K472" s="295"/>
    </row>
    <row r="473" spans="1:11" x14ac:dyDescent="0.2">
      <c r="A473" s="33" t="s">
        <v>296</v>
      </c>
      <c r="B473" s="1"/>
      <c r="C473" s="1"/>
      <c r="D473" s="1"/>
      <c r="E473" s="21"/>
      <c r="F473" s="1"/>
      <c r="G473" s="1"/>
      <c r="H473" s="21" t="s">
        <v>1025</v>
      </c>
      <c r="I473" s="447"/>
      <c r="J473" s="448"/>
      <c r="K473" s="295"/>
    </row>
    <row r="474" spans="1:11" x14ac:dyDescent="0.2">
      <c r="A474" s="1"/>
      <c r="B474" s="1"/>
      <c r="C474" s="1"/>
      <c r="D474" s="21" t="s">
        <v>293</v>
      </c>
      <c r="E474" s="447"/>
      <c r="F474" s="448"/>
      <c r="G474" s="1"/>
      <c r="H474" s="21" t="s">
        <v>295</v>
      </c>
      <c r="I474" s="447"/>
      <c r="J474" s="448"/>
      <c r="K474" s="295"/>
    </row>
    <row r="475" spans="1:11" x14ac:dyDescent="0.2">
      <c r="A475" s="9"/>
      <c r="B475" s="9"/>
      <c r="C475" s="9"/>
      <c r="D475" s="34" t="s">
        <v>294</v>
      </c>
      <c r="E475" s="447"/>
      <c r="F475" s="448"/>
      <c r="G475" s="1"/>
      <c r="H475" s="34" t="s">
        <v>295</v>
      </c>
      <c r="I475" s="447"/>
      <c r="J475" s="448"/>
      <c r="K475" s="295"/>
    </row>
    <row r="476" spans="1:11" x14ac:dyDescent="0.2">
      <c r="A476" s="9"/>
      <c r="B476" s="9"/>
      <c r="C476" s="9"/>
      <c r="D476" s="9"/>
      <c r="E476" s="9"/>
      <c r="F476" s="9"/>
      <c r="G476" s="9"/>
      <c r="H476" s="34" t="s">
        <v>297</v>
      </c>
      <c r="I476" s="447"/>
      <c r="J476" s="448"/>
      <c r="K476" s="295"/>
    </row>
    <row r="477" spans="1:11" x14ac:dyDescent="0.2">
      <c r="A477" s="9"/>
      <c r="B477" s="9"/>
      <c r="C477" s="113"/>
      <c r="D477" s="1"/>
      <c r="E477" s="114"/>
      <c r="F477" s="113"/>
      <c r="G477" s="9"/>
      <c r="H477" s="34" t="s">
        <v>298</v>
      </c>
      <c r="I477" s="447"/>
      <c r="J477" s="448"/>
      <c r="K477" s="295"/>
    </row>
    <row r="478" spans="1:11" x14ac:dyDescent="0.2">
      <c r="A478" s="9"/>
      <c r="B478" s="9"/>
      <c r="C478" s="34"/>
      <c r="D478" s="34" t="s">
        <v>299</v>
      </c>
      <c r="E478" s="447"/>
      <c r="F478" s="448"/>
      <c r="G478" s="9"/>
      <c r="H478" s="115"/>
      <c r="I478" s="21" t="s">
        <v>1023</v>
      </c>
      <c r="J478" s="116" t="str">
        <f>IF(E478=0,"",IF(C257="New Construction","",E479/I844))</f>
        <v/>
      </c>
      <c r="K478" s="295"/>
    </row>
    <row r="479" spans="1:11" x14ac:dyDescent="0.2">
      <c r="A479" s="9"/>
      <c r="B479" s="9"/>
      <c r="C479" s="9"/>
      <c r="D479" s="34" t="s">
        <v>594</v>
      </c>
      <c r="E479" s="444">
        <f>IF(C257="New Construction","Not Applicable",I768+I784)</f>
        <v>0</v>
      </c>
      <c r="F479" s="445"/>
      <c r="G479" s="9"/>
      <c r="H479" s="34"/>
      <c r="I479" s="21" t="s">
        <v>1024</v>
      </c>
      <c r="J479" s="116" t="str">
        <f>IF(E478=0,"",IF(C257="New Construction","",E479/E478))</f>
        <v/>
      </c>
      <c r="K479" s="295"/>
    </row>
    <row r="480" spans="1:11" x14ac:dyDescent="0.2">
      <c r="A480" s="9"/>
      <c r="B480" s="9"/>
      <c r="C480" s="9"/>
      <c r="D480" s="34"/>
      <c r="E480" s="376"/>
      <c r="F480" s="376"/>
      <c r="G480" s="9"/>
      <c r="H480" s="34"/>
      <c r="I480" s="21"/>
      <c r="J480" s="377"/>
      <c r="K480" s="295"/>
    </row>
    <row r="481" spans="1:11" x14ac:dyDescent="0.2">
      <c r="A481" s="441" t="s">
        <v>1060</v>
      </c>
      <c r="B481" s="441"/>
      <c r="C481" s="441"/>
      <c r="D481" s="441"/>
      <c r="E481" s="441"/>
      <c r="F481" s="441"/>
      <c r="G481" s="441"/>
      <c r="H481" s="441"/>
      <c r="I481" s="441"/>
      <c r="J481" s="441"/>
      <c r="K481" s="295"/>
    </row>
    <row r="482" spans="1:11" x14ac:dyDescent="0.2">
      <c r="A482" s="441" t="s">
        <v>1061</v>
      </c>
      <c r="B482" s="441"/>
      <c r="C482" s="441"/>
      <c r="D482" s="441"/>
      <c r="E482" s="441"/>
      <c r="F482" s="441"/>
      <c r="G482" s="441"/>
      <c r="H482" s="441"/>
      <c r="I482" s="441"/>
      <c r="J482" s="441"/>
      <c r="K482" s="295"/>
    </row>
    <row r="483" spans="1:11" x14ac:dyDescent="0.2">
      <c r="A483" s="441" t="s">
        <v>88</v>
      </c>
      <c r="B483" s="441"/>
      <c r="C483" s="441"/>
      <c r="D483" s="441"/>
      <c r="E483" s="441"/>
      <c r="F483" s="441"/>
      <c r="G483" s="441"/>
      <c r="H483" s="441"/>
      <c r="I483" s="441"/>
      <c r="J483" s="441"/>
      <c r="K483" s="295"/>
    </row>
    <row r="484" spans="1:11" x14ac:dyDescent="0.2">
      <c r="A484" s="26"/>
      <c r="B484" s="9"/>
      <c r="C484" s="9"/>
      <c r="D484" s="446" t="str">
        <f>IF($B$229="","",$B$229)</f>
        <v/>
      </c>
      <c r="E484" s="446"/>
      <c r="F484" s="446"/>
      <c r="G484" s="446"/>
      <c r="H484" s="9"/>
      <c r="I484" s="27"/>
      <c r="J484" s="9"/>
      <c r="K484" s="295"/>
    </row>
    <row r="485" spans="1:11" x14ac:dyDescent="0.2">
      <c r="A485" s="9"/>
      <c r="B485" s="9"/>
      <c r="C485" s="9"/>
      <c r="D485" s="443" t="s">
        <v>1143</v>
      </c>
      <c r="E485" s="443"/>
      <c r="F485" s="443"/>
      <c r="G485" s="443"/>
      <c r="H485" s="9"/>
      <c r="I485" s="9"/>
      <c r="J485" s="9"/>
      <c r="K485" s="295"/>
    </row>
    <row r="486" spans="1:11" x14ac:dyDescent="0.2">
      <c r="A486" s="443" t="s">
        <v>450</v>
      </c>
      <c r="B486" s="443"/>
      <c r="C486" s="443"/>
      <c r="D486" s="443"/>
      <c r="E486" s="443"/>
      <c r="F486" s="443"/>
      <c r="G486" s="443"/>
      <c r="H486" s="443"/>
      <c r="I486" s="443"/>
      <c r="J486" s="443"/>
      <c r="K486" s="295"/>
    </row>
    <row r="487" spans="1:11" x14ac:dyDescent="0.2">
      <c r="A487" s="9"/>
      <c r="B487" s="9"/>
      <c r="C487" s="9"/>
      <c r="D487" s="9"/>
      <c r="E487" s="9"/>
      <c r="F487" s="9"/>
      <c r="G487" s="9"/>
      <c r="H487" s="9"/>
      <c r="I487" s="9"/>
      <c r="J487" s="9"/>
      <c r="K487" s="295"/>
    </row>
    <row r="488" spans="1:11" x14ac:dyDescent="0.2">
      <c r="A488" s="36" t="s">
        <v>475</v>
      </c>
      <c r="B488" s="9"/>
      <c r="C488" s="9"/>
      <c r="D488" s="9"/>
      <c r="E488" s="9"/>
      <c r="F488" s="9"/>
      <c r="G488" s="9"/>
      <c r="H488" s="9"/>
      <c r="I488" s="1"/>
      <c r="J488" s="9"/>
      <c r="K488" s="295"/>
    </row>
    <row r="489" spans="1:11" ht="13.5" thickBot="1" x14ac:dyDescent="0.25">
      <c r="A489" s="9" t="s">
        <v>476</v>
      </c>
      <c r="B489" s="9"/>
      <c r="C489" s="9"/>
      <c r="D489" s="9"/>
      <c r="E489" s="9"/>
      <c r="F489" s="9"/>
      <c r="G489" s="9"/>
      <c r="H489" s="9"/>
      <c r="I489" s="147"/>
      <c r="J489" s="9"/>
      <c r="K489" s="295"/>
    </row>
    <row r="490" spans="1:11" x14ac:dyDescent="0.2">
      <c r="A490" s="9" t="s">
        <v>477</v>
      </c>
      <c r="B490" s="9"/>
      <c r="C490" s="437"/>
      <c r="D490" s="437"/>
      <c r="E490" s="437"/>
      <c r="F490" s="9"/>
      <c r="G490" s="34" t="s">
        <v>485</v>
      </c>
      <c r="H490" s="575"/>
      <c r="I490" s="575"/>
      <c r="J490" s="575"/>
      <c r="K490" s="295"/>
    </row>
    <row r="491" spans="1:11" ht="13.5" thickBot="1" x14ac:dyDescent="0.25">
      <c r="A491" s="9" t="s">
        <v>451</v>
      </c>
      <c r="B491" s="9"/>
      <c r="C491" s="9"/>
      <c r="D491" s="9"/>
      <c r="E491" s="9"/>
      <c r="F491" s="9"/>
      <c r="G491" s="9"/>
      <c r="H491" s="9"/>
      <c r="I491" s="147"/>
      <c r="J491" s="9"/>
      <c r="K491" s="295"/>
    </row>
    <row r="492" spans="1:11" ht="13.5" thickBot="1" x14ac:dyDescent="0.25">
      <c r="A492" s="9" t="s">
        <v>474</v>
      </c>
      <c r="B492" s="9"/>
      <c r="C492" s="9"/>
      <c r="D492" s="9"/>
      <c r="E492" s="9"/>
      <c r="F492" s="9"/>
      <c r="G492" s="9"/>
      <c r="H492" s="9"/>
      <c r="I492" s="147"/>
      <c r="J492" s="9"/>
      <c r="K492" s="295"/>
    </row>
    <row r="493" spans="1:11" ht="13.5" thickBot="1" x14ac:dyDescent="0.25">
      <c r="A493" s="9" t="s">
        <v>452</v>
      </c>
      <c r="B493" s="9"/>
      <c r="C493" s="9"/>
      <c r="D493" s="9"/>
      <c r="E493" s="9"/>
      <c r="F493" s="9"/>
      <c r="G493" s="9"/>
      <c r="H493" s="9"/>
      <c r="I493" s="147"/>
      <c r="J493" s="9"/>
      <c r="K493" s="295"/>
    </row>
    <row r="494" spans="1:11" ht="13.5" thickBot="1" x14ac:dyDescent="0.25">
      <c r="A494" s="9" t="s">
        <v>459</v>
      </c>
      <c r="B494" s="9"/>
      <c r="C494" s="9"/>
      <c r="D494" s="9"/>
      <c r="E494" s="9"/>
      <c r="F494" s="9"/>
      <c r="G494" s="9"/>
      <c r="H494" s="9"/>
      <c r="I494" s="147"/>
      <c r="J494" s="9"/>
      <c r="K494" s="295"/>
    </row>
    <row r="495" spans="1:11" x14ac:dyDescent="0.2">
      <c r="A495" s="36" t="s">
        <v>919</v>
      </c>
      <c r="B495" s="9"/>
      <c r="C495" s="9"/>
      <c r="D495" s="9"/>
      <c r="E495" s="9"/>
      <c r="F495" s="9"/>
      <c r="G495" s="9"/>
      <c r="H495" s="9"/>
      <c r="I495" s="9"/>
      <c r="J495" s="9"/>
      <c r="K495" s="295"/>
    </row>
    <row r="496" spans="1:11" ht="13.5" thickBot="1" x14ac:dyDescent="0.25">
      <c r="A496" s="9" t="s">
        <v>453</v>
      </c>
      <c r="B496" s="9"/>
      <c r="C496" s="9"/>
      <c r="D496" s="9"/>
      <c r="E496" s="9"/>
      <c r="F496" s="9"/>
      <c r="G496" s="9"/>
      <c r="H496" s="9"/>
      <c r="I496" s="135"/>
      <c r="J496" s="9"/>
      <c r="K496" s="295"/>
    </row>
    <row r="497" spans="1:11" ht="13.5" thickBot="1" x14ac:dyDescent="0.25">
      <c r="A497" s="9" t="s">
        <v>454</v>
      </c>
      <c r="B497" s="9"/>
      <c r="C497" s="9"/>
      <c r="D497" s="9"/>
      <c r="E497" s="9"/>
      <c r="F497" s="9"/>
      <c r="G497" s="9"/>
      <c r="H497" s="9"/>
      <c r="I497" s="135"/>
      <c r="J497" s="9"/>
      <c r="K497" s="295"/>
    </row>
    <row r="498" spans="1:11" ht="13.5" thickBot="1" x14ac:dyDescent="0.25">
      <c r="A498" s="9" t="s">
        <v>455</v>
      </c>
      <c r="B498" s="9"/>
      <c r="C498" s="9"/>
      <c r="D498" s="9"/>
      <c r="E498" s="9"/>
      <c r="F498" s="9"/>
      <c r="G498" s="9"/>
      <c r="H498" s="9"/>
      <c r="I498" s="135"/>
      <c r="J498" s="9"/>
      <c r="K498" s="295"/>
    </row>
    <row r="499" spans="1:11" ht="13.5" thickBot="1" x14ac:dyDescent="0.25">
      <c r="A499" s="9" t="s">
        <v>456</v>
      </c>
      <c r="B499" s="9"/>
      <c r="C499" s="9"/>
      <c r="D499" s="9"/>
      <c r="E499" s="9"/>
      <c r="F499" s="9"/>
      <c r="G499" s="9"/>
      <c r="H499" s="9"/>
      <c r="I499" s="135"/>
      <c r="J499" s="9"/>
      <c r="K499" s="295"/>
    </row>
    <row r="500" spans="1:11" x14ac:dyDescent="0.2">
      <c r="A500" s="36" t="s">
        <v>478</v>
      </c>
      <c r="B500" s="9"/>
      <c r="C500" s="9"/>
      <c r="D500" s="9"/>
      <c r="E500" s="9"/>
      <c r="F500" s="9"/>
      <c r="G500" s="9"/>
      <c r="H500" s="9"/>
      <c r="I500" s="9"/>
      <c r="J500" s="9"/>
      <c r="K500" s="295"/>
    </row>
    <row r="501" spans="1:11" ht="13.5" thickBot="1" x14ac:dyDescent="0.25">
      <c r="A501" s="9" t="s">
        <v>479</v>
      </c>
      <c r="B501" s="9"/>
      <c r="C501" s="9"/>
      <c r="D501" s="9"/>
      <c r="E501" s="9"/>
      <c r="F501" s="9"/>
      <c r="G501" s="9"/>
      <c r="H501" s="9"/>
      <c r="I501" s="137"/>
      <c r="J501" s="9"/>
      <c r="K501" s="295"/>
    </row>
    <row r="502" spans="1:11" ht="13.5" thickBot="1" x14ac:dyDescent="0.25">
      <c r="A502" s="9" t="s">
        <v>480</v>
      </c>
      <c r="B502" s="9"/>
      <c r="C502" s="9"/>
      <c r="D502" s="9"/>
      <c r="E502" s="9"/>
      <c r="F502" s="9"/>
      <c r="G502" s="9"/>
      <c r="H502" s="9"/>
      <c r="I502" s="137"/>
      <c r="J502" s="9"/>
      <c r="K502" s="295"/>
    </row>
    <row r="503" spans="1:11" x14ac:dyDescent="0.2">
      <c r="A503" s="9" t="s">
        <v>481</v>
      </c>
      <c r="B503" s="9"/>
      <c r="C503" s="9"/>
      <c r="D503" s="314"/>
      <c r="E503" s="29" t="s">
        <v>486</v>
      </c>
      <c r="F503" s="9"/>
      <c r="G503" s="9"/>
      <c r="H503" s="9"/>
      <c r="I503" s="9"/>
      <c r="J503" s="9"/>
      <c r="K503" s="295"/>
    </row>
    <row r="504" spans="1:11" x14ac:dyDescent="0.2">
      <c r="A504" s="9"/>
      <c r="B504" s="9" t="s">
        <v>487</v>
      </c>
      <c r="C504" s="9"/>
      <c r="D504" s="556"/>
      <c r="E504" s="556"/>
      <c r="F504" s="9"/>
      <c r="G504" s="9" t="s">
        <v>488</v>
      </c>
      <c r="H504" s="139"/>
      <c r="I504" s="9" t="s">
        <v>489</v>
      </c>
      <c r="J504" s="9"/>
      <c r="K504" s="295"/>
    </row>
    <row r="505" spans="1:11" x14ac:dyDescent="0.2">
      <c r="A505" s="9"/>
      <c r="B505" s="9"/>
      <c r="C505" s="9"/>
      <c r="D505" s="9"/>
      <c r="E505" s="9"/>
      <c r="F505" s="9"/>
      <c r="G505" s="9"/>
      <c r="H505" s="69" t="str">
        <f>IF(H504=0,"",H504*43560)</f>
        <v/>
      </c>
      <c r="I505" s="9" t="s">
        <v>490</v>
      </c>
      <c r="J505" s="9"/>
      <c r="K505" s="295"/>
    </row>
    <row r="506" spans="1:11" x14ac:dyDescent="0.2">
      <c r="A506" s="9"/>
      <c r="B506" s="9" t="s">
        <v>491</v>
      </c>
      <c r="C506" s="9"/>
      <c r="D506" s="437"/>
      <c r="E506" s="437"/>
      <c r="F506" s="437"/>
      <c r="G506" s="437"/>
      <c r="H506" s="437"/>
      <c r="I506" s="437"/>
      <c r="J506" s="437"/>
      <c r="K506" s="295"/>
    </row>
    <row r="507" spans="1:11" x14ac:dyDescent="0.2">
      <c r="A507" s="9"/>
      <c r="B507" s="34" t="s">
        <v>493</v>
      </c>
      <c r="C507" s="437"/>
      <c r="D507" s="437"/>
      <c r="E507" s="437"/>
      <c r="F507" s="437"/>
      <c r="G507" s="437"/>
      <c r="H507" s="437"/>
      <c r="I507" s="9"/>
      <c r="J507" s="9"/>
      <c r="K507" s="295"/>
    </row>
    <row r="508" spans="1:11" x14ac:dyDescent="0.2">
      <c r="A508" s="9"/>
      <c r="B508" s="34" t="s">
        <v>492</v>
      </c>
      <c r="C508" s="452"/>
      <c r="D508" s="452"/>
      <c r="E508" s="452"/>
      <c r="F508" s="34" t="s">
        <v>494</v>
      </c>
      <c r="G508" s="305"/>
      <c r="H508" s="34" t="s">
        <v>495</v>
      </c>
      <c r="I508" s="138"/>
      <c r="J508" s="9"/>
      <c r="K508" s="295"/>
    </row>
    <row r="509" spans="1:11" x14ac:dyDescent="0.2">
      <c r="A509" s="9"/>
      <c r="B509" s="9"/>
      <c r="C509" s="9"/>
      <c r="D509" s="9"/>
      <c r="E509" s="9"/>
      <c r="F509" s="9"/>
      <c r="G509" s="9"/>
      <c r="H509" s="9"/>
      <c r="I509" s="9"/>
      <c r="J509" s="9"/>
      <c r="K509" s="295"/>
    </row>
    <row r="510" spans="1:11" x14ac:dyDescent="0.2">
      <c r="A510" s="36" t="s">
        <v>496</v>
      </c>
      <c r="B510" s="9"/>
      <c r="C510" s="9"/>
      <c r="D510" s="9"/>
      <c r="E510" s="9"/>
      <c r="F510" s="9"/>
      <c r="G510" s="9"/>
      <c r="H510" s="9"/>
      <c r="I510" s="9"/>
      <c r="J510" s="9"/>
      <c r="K510" s="295"/>
    </row>
    <row r="511" spans="1:11" ht="13.5" thickBot="1" x14ac:dyDescent="0.25">
      <c r="A511" s="9" t="s">
        <v>445</v>
      </c>
      <c r="B511" s="9"/>
      <c r="C511" s="9"/>
      <c r="D511" s="9"/>
      <c r="E511" s="9"/>
      <c r="F511" s="9"/>
      <c r="G511" s="9"/>
      <c r="H511" s="9"/>
      <c r="I511" s="147"/>
      <c r="J511" s="9"/>
      <c r="K511" s="295"/>
    </row>
    <row r="512" spans="1:11" ht="13.5" thickBot="1" x14ac:dyDescent="0.25">
      <c r="A512" s="9" t="s">
        <v>497</v>
      </c>
      <c r="B512" s="9"/>
      <c r="C512" s="9"/>
      <c r="D512" s="9"/>
      <c r="E512" s="9"/>
      <c r="F512" s="9"/>
      <c r="G512" s="9"/>
      <c r="H512" s="9"/>
      <c r="I512" s="147"/>
      <c r="J512" s="9"/>
      <c r="K512" s="295"/>
    </row>
    <row r="513" spans="1:12" x14ac:dyDescent="0.2">
      <c r="A513" s="9"/>
      <c r="B513" s="9" t="s">
        <v>498</v>
      </c>
      <c r="C513" s="9"/>
      <c r="D513" s="9"/>
      <c r="E513" s="9"/>
      <c r="F513" s="9"/>
      <c r="G513" s="138"/>
      <c r="H513" s="9"/>
      <c r="I513" s="9"/>
      <c r="J513" s="9"/>
      <c r="K513" s="295"/>
    </row>
    <row r="514" spans="1:12" ht="13.5" thickBot="1" x14ac:dyDescent="0.25">
      <c r="A514" s="9" t="s">
        <v>499</v>
      </c>
      <c r="B514" s="9"/>
      <c r="C514" s="9"/>
      <c r="D514" s="9"/>
      <c r="E514" s="9"/>
      <c r="F514" s="9"/>
      <c r="G514" s="9"/>
      <c r="H514" s="9"/>
      <c r="I514" s="147"/>
      <c r="J514" s="9"/>
      <c r="K514" s="295"/>
    </row>
    <row r="515" spans="1:12" ht="13.5" thickBot="1" x14ac:dyDescent="0.25">
      <c r="A515" s="9" t="s">
        <v>500</v>
      </c>
      <c r="B515" s="9"/>
      <c r="C515" s="9"/>
      <c r="D515" s="9"/>
      <c r="E515" s="9"/>
      <c r="F515" s="9"/>
      <c r="G515" s="9"/>
      <c r="H515" s="9"/>
      <c r="I515" s="147"/>
      <c r="J515" s="9"/>
      <c r="K515" s="295"/>
    </row>
    <row r="516" spans="1:12" ht="13.5" thickBot="1" x14ac:dyDescent="0.25">
      <c r="A516" s="9" t="s">
        <v>501</v>
      </c>
      <c r="B516" s="9"/>
      <c r="C516" s="9"/>
      <c r="D516" s="9"/>
      <c r="E516" s="9"/>
      <c r="F516" s="9"/>
      <c r="G516" s="9"/>
      <c r="H516" s="9"/>
      <c r="I516" s="135"/>
      <c r="J516" s="9"/>
      <c r="K516" s="295"/>
    </row>
    <row r="517" spans="1:12" x14ac:dyDescent="0.2">
      <c r="A517" s="9" t="s">
        <v>502</v>
      </c>
      <c r="B517" s="9"/>
      <c r="C517" s="9"/>
      <c r="D517" s="9"/>
      <c r="E517" s="9"/>
      <c r="F517" s="9"/>
      <c r="G517" s="138"/>
      <c r="H517" s="9"/>
      <c r="I517" s="9"/>
      <c r="J517" s="9"/>
      <c r="K517" s="295"/>
      <c r="L517" s="23" t="s">
        <v>389</v>
      </c>
    </row>
    <row r="518" spans="1:12" ht="13.5" thickBot="1" x14ac:dyDescent="0.25">
      <c r="A518" s="9" t="s">
        <v>503</v>
      </c>
      <c r="B518" s="9"/>
      <c r="C518" s="9"/>
      <c r="D518" s="9"/>
      <c r="E518" s="9"/>
      <c r="F518" s="9"/>
      <c r="G518" s="9"/>
      <c r="H518" s="9"/>
      <c r="I518" s="147"/>
      <c r="J518" s="9"/>
      <c r="K518" s="295"/>
      <c r="L518" s="23" t="s">
        <v>524</v>
      </c>
    </row>
    <row r="519" spans="1:12" ht="13.5" thickBot="1" x14ac:dyDescent="0.25">
      <c r="A519" s="9" t="s">
        <v>504</v>
      </c>
      <c r="B519" s="9"/>
      <c r="C519" s="9"/>
      <c r="D519" s="9"/>
      <c r="E519" s="9"/>
      <c r="F519" s="9"/>
      <c r="G519" s="9"/>
      <c r="H519" s="9"/>
      <c r="I519" s="135"/>
      <c r="J519" s="9"/>
      <c r="K519" s="295"/>
      <c r="L519" s="23" t="s">
        <v>395</v>
      </c>
    </row>
    <row r="520" spans="1:12" x14ac:dyDescent="0.2">
      <c r="A520" s="9" t="s">
        <v>505</v>
      </c>
      <c r="B520" s="9"/>
      <c r="C520" s="9"/>
      <c r="D520" s="9"/>
      <c r="E520" s="9"/>
      <c r="F520" s="9"/>
      <c r="G520" s="9"/>
      <c r="H520" s="9"/>
      <c r="I520" s="9"/>
      <c r="J520" s="9"/>
      <c r="K520" s="295"/>
      <c r="L520" s="23" t="s">
        <v>523</v>
      </c>
    </row>
    <row r="521" spans="1:12" ht="12.75" customHeight="1" x14ac:dyDescent="0.2">
      <c r="A521" s="546"/>
      <c r="B521" s="547"/>
      <c r="C521" s="547"/>
      <c r="D521" s="547"/>
      <c r="E521" s="547"/>
      <c r="F521" s="547"/>
      <c r="G521" s="547"/>
      <c r="H521" s="547"/>
      <c r="I521" s="547"/>
      <c r="J521" s="548"/>
      <c r="K521" s="295"/>
    </row>
    <row r="522" spans="1:12" x14ac:dyDescent="0.2">
      <c r="A522" s="549"/>
      <c r="B522" s="550"/>
      <c r="C522" s="550"/>
      <c r="D522" s="550"/>
      <c r="E522" s="550"/>
      <c r="F522" s="550"/>
      <c r="G522" s="550"/>
      <c r="H522" s="550"/>
      <c r="I522" s="550"/>
      <c r="J522" s="551"/>
      <c r="K522" s="295"/>
    </row>
    <row r="523" spans="1:12" x14ac:dyDescent="0.2">
      <c r="A523" s="549"/>
      <c r="B523" s="550"/>
      <c r="C523" s="550"/>
      <c r="D523" s="550"/>
      <c r="E523" s="550"/>
      <c r="F523" s="550"/>
      <c r="G523" s="550"/>
      <c r="H523" s="550"/>
      <c r="I523" s="550"/>
      <c r="J523" s="551"/>
      <c r="K523" s="295"/>
    </row>
    <row r="524" spans="1:12" x14ac:dyDescent="0.2">
      <c r="A524" s="549"/>
      <c r="B524" s="550"/>
      <c r="C524" s="550"/>
      <c r="D524" s="550"/>
      <c r="E524" s="550"/>
      <c r="F524" s="550"/>
      <c r="G524" s="550"/>
      <c r="H524" s="550"/>
      <c r="I524" s="550"/>
      <c r="J524" s="551"/>
      <c r="K524" s="295"/>
    </row>
    <row r="525" spans="1:12" x14ac:dyDescent="0.2">
      <c r="A525" s="552"/>
      <c r="B525" s="553"/>
      <c r="C525" s="553"/>
      <c r="D525" s="553"/>
      <c r="E525" s="553"/>
      <c r="F525" s="553"/>
      <c r="G525" s="553"/>
      <c r="H525" s="553"/>
      <c r="I525" s="553"/>
      <c r="J525" s="554"/>
      <c r="K525" s="295"/>
    </row>
    <row r="526" spans="1:12" x14ac:dyDescent="0.2">
      <c r="A526" s="9"/>
      <c r="B526" s="9"/>
      <c r="C526" s="9"/>
      <c r="D526" s="9"/>
      <c r="E526" s="9"/>
      <c r="F526" s="9"/>
      <c r="G526" s="9"/>
      <c r="H526" s="9"/>
      <c r="I526" s="9"/>
      <c r="J526" s="9"/>
      <c r="K526" s="295"/>
    </row>
    <row r="527" spans="1:12" x14ac:dyDescent="0.2">
      <c r="A527" s="9" t="s">
        <v>506</v>
      </c>
      <c r="B527" s="9"/>
      <c r="C527" s="9"/>
      <c r="D527" s="9"/>
      <c r="E527" s="9"/>
      <c r="F527" s="9"/>
      <c r="G527" s="9"/>
      <c r="H527" s="9"/>
      <c r="I527" s="9"/>
      <c r="J527" s="9"/>
      <c r="K527" s="295"/>
    </row>
    <row r="528" spans="1:12" ht="12.75" customHeight="1" x14ac:dyDescent="0.2">
      <c r="A528" s="546"/>
      <c r="B528" s="557"/>
      <c r="C528" s="557"/>
      <c r="D528" s="557"/>
      <c r="E528" s="557"/>
      <c r="F528" s="557"/>
      <c r="G528" s="557"/>
      <c r="H528" s="557"/>
      <c r="I528" s="557"/>
      <c r="J528" s="558"/>
      <c r="K528" s="295"/>
    </row>
    <row r="529" spans="1:11" ht="12.75" customHeight="1" x14ac:dyDescent="0.2">
      <c r="A529" s="559"/>
      <c r="B529" s="560"/>
      <c r="C529" s="560"/>
      <c r="D529" s="560"/>
      <c r="E529" s="560"/>
      <c r="F529" s="560"/>
      <c r="G529" s="560"/>
      <c r="H529" s="560"/>
      <c r="I529" s="560"/>
      <c r="J529" s="561"/>
      <c r="K529" s="295"/>
    </row>
    <row r="530" spans="1:11" x14ac:dyDescent="0.2">
      <c r="A530" s="559"/>
      <c r="B530" s="560"/>
      <c r="C530" s="560"/>
      <c r="D530" s="560"/>
      <c r="E530" s="560"/>
      <c r="F530" s="560"/>
      <c r="G530" s="560"/>
      <c r="H530" s="560"/>
      <c r="I530" s="560"/>
      <c r="J530" s="561"/>
      <c r="K530" s="295"/>
    </row>
    <row r="531" spans="1:11" x14ac:dyDescent="0.2">
      <c r="A531" s="559"/>
      <c r="B531" s="560"/>
      <c r="C531" s="560"/>
      <c r="D531" s="560"/>
      <c r="E531" s="560"/>
      <c r="F531" s="560"/>
      <c r="G531" s="560"/>
      <c r="H531" s="560"/>
      <c r="I531" s="560"/>
      <c r="J531" s="561"/>
      <c r="K531" s="295"/>
    </row>
    <row r="532" spans="1:11" x14ac:dyDescent="0.2">
      <c r="A532" s="562"/>
      <c r="B532" s="563"/>
      <c r="C532" s="563"/>
      <c r="D532" s="563"/>
      <c r="E532" s="563"/>
      <c r="F532" s="563"/>
      <c r="G532" s="563"/>
      <c r="H532" s="563"/>
      <c r="I532" s="563"/>
      <c r="J532" s="564"/>
      <c r="K532" s="295"/>
    </row>
    <row r="533" spans="1:11" x14ac:dyDescent="0.2">
      <c r="A533" s="9"/>
      <c r="B533" s="9"/>
      <c r="C533" s="9"/>
      <c r="D533" s="9"/>
      <c r="E533" s="9"/>
      <c r="F533" s="9"/>
      <c r="G533" s="9"/>
      <c r="H533" s="9"/>
      <c r="I533" s="9"/>
      <c r="J533" s="9"/>
      <c r="K533" s="295"/>
    </row>
    <row r="534" spans="1:11" x14ac:dyDescent="0.2">
      <c r="A534" s="449" t="s">
        <v>1060</v>
      </c>
      <c r="B534" s="449"/>
      <c r="C534" s="449"/>
      <c r="D534" s="449"/>
      <c r="E534" s="449"/>
      <c r="F534" s="449"/>
      <c r="G534" s="449"/>
      <c r="H534" s="449"/>
      <c r="I534" s="449"/>
      <c r="J534" s="449"/>
      <c r="K534" s="295"/>
    </row>
    <row r="535" spans="1:11" x14ac:dyDescent="0.2">
      <c r="A535" s="441" t="s">
        <v>1061</v>
      </c>
      <c r="B535" s="441"/>
      <c r="C535" s="441"/>
      <c r="D535" s="441"/>
      <c r="E535" s="441"/>
      <c r="F535" s="441"/>
      <c r="G535" s="441"/>
      <c r="H535" s="441"/>
      <c r="I535" s="441"/>
      <c r="J535" s="441"/>
      <c r="K535" s="295"/>
    </row>
    <row r="536" spans="1:11" x14ac:dyDescent="0.2">
      <c r="A536" s="441" t="s">
        <v>88</v>
      </c>
      <c r="B536" s="441"/>
      <c r="C536" s="441"/>
      <c r="D536" s="441"/>
      <c r="E536" s="441"/>
      <c r="F536" s="441"/>
      <c r="G536" s="441"/>
      <c r="H536" s="441"/>
      <c r="I536" s="441"/>
      <c r="J536" s="441"/>
      <c r="K536" s="295"/>
    </row>
    <row r="537" spans="1:11" x14ac:dyDescent="0.2">
      <c r="A537" s="26"/>
      <c r="B537" s="9"/>
      <c r="C537" s="9"/>
      <c r="D537" s="446" t="str">
        <f>IF($B$229="","",$B$229)</f>
        <v/>
      </c>
      <c r="E537" s="446"/>
      <c r="F537" s="446"/>
      <c r="G537" s="446"/>
      <c r="H537" s="9"/>
      <c r="I537" s="27"/>
      <c r="J537" s="9"/>
      <c r="K537" s="295"/>
    </row>
    <row r="538" spans="1:11" x14ac:dyDescent="0.2">
      <c r="A538" s="9"/>
      <c r="B538" s="9"/>
      <c r="C538" s="9"/>
      <c r="D538" s="443" t="s">
        <v>1143</v>
      </c>
      <c r="E538" s="443"/>
      <c r="F538" s="443"/>
      <c r="G538" s="443"/>
      <c r="H538" s="9"/>
      <c r="I538" s="9"/>
      <c r="J538" s="9"/>
      <c r="K538" s="295"/>
    </row>
    <row r="539" spans="1:11" x14ac:dyDescent="0.2">
      <c r="A539" s="443" t="s">
        <v>507</v>
      </c>
      <c r="B539" s="443"/>
      <c r="C539" s="443"/>
      <c r="D539" s="443"/>
      <c r="E539" s="443"/>
      <c r="F539" s="443"/>
      <c r="G539" s="443"/>
      <c r="H539" s="443"/>
      <c r="I539" s="443"/>
      <c r="J539" s="443"/>
      <c r="K539" s="295"/>
    </row>
    <row r="540" spans="1:11" x14ac:dyDescent="0.2">
      <c r="A540" s="9"/>
      <c r="B540" s="9"/>
      <c r="C540" s="9"/>
      <c r="D540" s="9"/>
      <c r="E540" s="9"/>
      <c r="F540" s="9"/>
      <c r="G540" s="9"/>
      <c r="H540" s="9"/>
      <c r="I540" s="9"/>
      <c r="J540" s="9"/>
      <c r="K540" s="295"/>
    </row>
    <row r="541" spans="1:11" x14ac:dyDescent="0.2">
      <c r="A541" s="36" t="s">
        <v>508</v>
      </c>
      <c r="B541" s="9"/>
      <c r="C541" s="9"/>
      <c r="D541" s="9"/>
      <c r="E541" s="9"/>
      <c r="F541" s="9"/>
      <c r="G541" s="9"/>
      <c r="H541" s="9"/>
      <c r="I541" s="9"/>
      <c r="J541" s="9"/>
      <c r="K541" s="295"/>
    </row>
    <row r="542" spans="1:11" x14ac:dyDescent="0.2">
      <c r="A542" s="9" t="s">
        <v>509</v>
      </c>
      <c r="B542" s="9"/>
      <c r="C542" s="9"/>
      <c r="D542" s="9"/>
      <c r="E542" s="9"/>
      <c r="F542" s="9"/>
      <c r="G542" s="9"/>
      <c r="H542" s="9"/>
      <c r="I542" s="308"/>
      <c r="J542" s="9"/>
      <c r="K542" s="295"/>
    </row>
    <row r="543" spans="1:11" x14ac:dyDescent="0.2">
      <c r="A543" s="9" t="s">
        <v>510</v>
      </c>
      <c r="B543" s="9"/>
      <c r="C543" s="9"/>
      <c r="D543" s="9"/>
      <c r="E543" s="9"/>
      <c r="F543" s="9"/>
      <c r="G543" s="9"/>
      <c r="H543" s="9"/>
      <c r="I543" s="138"/>
      <c r="J543" s="9"/>
      <c r="K543" s="295"/>
    </row>
    <row r="544" spans="1:11" x14ac:dyDescent="0.2">
      <c r="A544" s="9" t="s">
        <v>511</v>
      </c>
      <c r="B544" s="9"/>
      <c r="C544" s="9"/>
      <c r="D544" s="9"/>
      <c r="E544" s="9"/>
      <c r="F544" s="9"/>
      <c r="G544" s="138"/>
      <c r="H544" s="29" t="s">
        <v>920</v>
      </c>
      <c r="I544" s="148"/>
      <c r="J544" s="9"/>
      <c r="K544" s="295"/>
    </row>
    <row r="545" spans="1:11" x14ac:dyDescent="0.2">
      <c r="A545" s="9" t="s">
        <v>512</v>
      </c>
      <c r="B545" s="9"/>
      <c r="C545" s="9"/>
      <c r="D545" s="9"/>
      <c r="E545" s="9"/>
      <c r="F545" s="9"/>
      <c r="G545" s="9"/>
      <c r="H545" s="9"/>
      <c r="I545" s="138"/>
      <c r="J545" s="9"/>
      <c r="K545" s="295"/>
    </row>
    <row r="546" spans="1:11" x14ac:dyDescent="0.2">
      <c r="A546" s="9"/>
      <c r="B546" s="9"/>
      <c r="C546" s="9"/>
      <c r="D546" s="9"/>
      <c r="E546" s="9"/>
      <c r="F546" s="9"/>
      <c r="G546" s="9"/>
      <c r="H546" s="9"/>
      <c r="I546" s="138"/>
      <c r="J546" s="9"/>
      <c r="K546" s="295"/>
    </row>
    <row r="547" spans="1:11" x14ac:dyDescent="0.2">
      <c r="A547" s="9"/>
      <c r="B547" s="9"/>
      <c r="C547" s="9"/>
      <c r="D547"/>
      <c r="E547"/>
      <c r="F547"/>
      <c r="G547"/>
      <c r="H547"/>
      <c r="I547"/>
      <c r="J547" s="9"/>
      <c r="K547" s="295"/>
    </row>
    <row r="548" spans="1:11" x14ac:dyDescent="0.2">
      <c r="A548" s="9" t="s">
        <v>517</v>
      </c>
      <c r="B548" s="9"/>
      <c r="C548" s="9"/>
      <c r="D548" s="9"/>
      <c r="E548" s="9"/>
      <c r="F548" s="9"/>
      <c r="G548" s="9"/>
      <c r="H548" s="9"/>
      <c r="I548" s="9"/>
      <c r="J548" s="9"/>
      <c r="K548" s="295"/>
    </row>
    <row r="549" spans="1:11" x14ac:dyDescent="0.2">
      <c r="A549" s="43" t="s">
        <v>518</v>
      </c>
      <c r="B549" s="29"/>
      <c r="C549" s="29"/>
      <c r="D549" s="29"/>
      <c r="E549" s="450" t="s">
        <v>519</v>
      </c>
      <c r="F549" s="450"/>
      <c r="G549" s="29" t="s">
        <v>520</v>
      </c>
      <c r="H549" s="450" t="s">
        <v>521</v>
      </c>
      <c r="I549" s="450"/>
      <c r="J549" s="9"/>
      <c r="K549" s="295"/>
    </row>
    <row r="550" spans="1:11" x14ac:dyDescent="0.2">
      <c r="A550" s="432"/>
      <c r="B550" s="432"/>
      <c r="C550" s="432"/>
      <c r="D550" s="432"/>
      <c r="E550" s="432"/>
      <c r="F550" s="432"/>
      <c r="G550" s="143"/>
      <c r="H550" s="433"/>
      <c r="I550" s="433"/>
      <c r="J550" s="9"/>
      <c r="K550" s="295"/>
    </row>
    <row r="551" spans="1:11" x14ac:dyDescent="0.2">
      <c r="A551" s="451"/>
      <c r="B551" s="451"/>
      <c r="C551" s="451"/>
      <c r="D551" s="451"/>
      <c r="E551" s="432"/>
      <c r="F551" s="432"/>
      <c r="G551" s="143"/>
      <c r="H551" s="433"/>
      <c r="I551" s="433"/>
      <c r="J551" s="9"/>
      <c r="K551" s="295"/>
    </row>
    <row r="552" spans="1:11" x14ac:dyDescent="0.2">
      <c r="A552" s="451"/>
      <c r="B552" s="451"/>
      <c r="C552" s="451"/>
      <c r="D552" s="451"/>
      <c r="E552" s="432"/>
      <c r="F552" s="432"/>
      <c r="G552" s="143"/>
      <c r="H552" s="433"/>
      <c r="I552" s="433"/>
      <c r="J552" s="9"/>
      <c r="K552" s="295"/>
    </row>
    <row r="553" spans="1:11" x14ac:dyDescent="0.2">
      <c r="A553" s="451"/>
      <c r="B553" s="451"/>
      <c r="C553" s="451"/>
      <c r="D553" s="451"/>
      <c r="E553" s="432"/>
      <c r="F553" s="432"/>
      <c r="G553" s="143"/>
      <c r="H553" s="433"/>
      <c r="I553" s="433"/>
      <c r="J553" s="9"/>
      <c r="K553" s="295"/>
    </row>
    <row r="554" spans="1:11" x14ac:dyDescent="0.2">
      <c r="A554" s="451"/>
      <c r="B554" s="451"/>
      <c r="C554" s="451"/>
      <c r="D554" s="451"/>
      <c r="E554" s="432"/>
      <c r="F554" s="432"/>
      <c r="G554" s="143"/>
      <c r="H554" s="433"/>
      <c r="I554" s="433"/>
      <c r="J554" s="9"/>
      <c r="K554" s="295"/>
    </row>
    <row r="555" spans="1:11" x14ac:dyDescent="0.2">
      <c r="A555" s="451"/>
      <c r="B555" s="451"/>
      <c r="C555" s="451"/>
      <c r="D555" s="451"/>
      <c r="E555" s="432"/>
      <c r="F555" s="432"/>
      <c r="G555" s="143"/>
      <c r="H555" s="433"/>
      <c r="I555" s="433"/>
      <c r="J555" s="9"/>
      <c r="K555" s="295"/>
    </row>
    <row r="556" spans="1:11" x14ac:dyDescent="0.2">
      <c r="A556" s="451"/>
      <c r="B556" s="451"/>
      <c r="C556" s="451"/>
      <c r="D556" s="451"/>
      <c r="E556" s="432"/>
      <c r="F556" s="432"/>
      <c r="G556" s="143"/>
      <c r="H556" s="433"/>
      <c r="I556" s="433"/>
      <c r="J556" s="9"/>
      <c r="K556" s="295"/>
    </row>
    <row r="557" spans="1:11" x14ac:dyDescent="0.2">
      <c r="A557" s="451"/>
      <c r="B557" s="451"/>
      <c r="C557" s="451"/>
      <c r="D557" s="451"/>
      <c r="E557" s="432"/>
      <c r="F557" s="432"/>
      <c r="G557" s="143"/>
      <c r="H557" s="433"/>
      <c r="I557" s="433"/>
      <c r="J557" s="9"/>
      <c r="K557" s="295"/>
    </row>
    <row r="558" spans="1:11" x14ac:dyDescent="0.2">
      <c r="A558" s="451"/>
      <c r="B558" s="451"/>
      <c r="C558" s="451"/>
      <c r="D558" s="451"/>
      <c r="E558" s="432"/>
      <c r="F558" s="432"/>
      <c r="G558" s="143"/>
      <c r="H558" s="433"/>
      <c r="I558" s="433"/>
      <c r="J558" s="9"/>
      <c r="K558" s="295"/>
    </row>
    <row r="559" spans="1:11" x14ac:dyDescent="0.2">
      <c r="A559" s="451"/>
      <c r="B559" s="451"/>
      <c r="C559" s="451"/>
      <c r="D559" s="451"/>
      <c r="E559" s="432"/>
      <c r="F559" s="432"/>
      <c r="G559" s="143"/>
      <c r="H559" s="433"/>
      <c r="I559" s="433"/>
      <c r="J559" s="9"/>
      <c r="K559" s="295"/>
    </row>
    <row r="560" spans="1:11" x14ac:dyDescent="0.2">
      <c r="A560" s="451"/>
      <c r="B560" s="451"/>
      <c r="C560" s="451"/>
      <c r="D560" s="451"/>
      <c r="E560" s="432"/>
      <c r="F560" s="432"/>
      <c r="G560" s="143"/>
      <c r="H560" s="433"/>
      <c r="I560" s="433"/>
      <c r="J560" s="9"/>
      <c r="K560" s="295"/>
    </row>
    <row r="561" spans="1:11" x14ac:dyDescent="0.2">
      <c r="A561" s="451"/>
      <c r="B561" s="451"/>
      <c r="C561" s="451"/>
      <c r="D561" s="451"/>
      <c r="E561" s="432"/>
      <c r="F561" s="432"/>
      <c r="G561" s="143"/>
      <c r="H561" s="433"/>
      <c r="I561" s="433"/>
      <c r="J561" s="9"/>
      <c r="K561" s="295"/>
    </row>
    <row r="562" spans="1:11" x14ac:dyDescent="0.2">
      <c r="A562" s="451"/>
      <c r="B562" s="451"/>
      <c r="C562" s="451"/>
      <c r="D562" s="451"/>
      <c r="E562" s="432"/>
      <c r="F562" s="432"/>
      <c r="G562" s="143"/>
      <c r="H562" s="433"/>
      <c r="I562" s="433"/>
      <c r="J562" s="9"/>
      <c r="K562" s="295"/>
    </row>
    <row r="563" spans="1:11" x14ac:dyDescent="0.2">
      <c r="A563" s="451"/>
      <c r="B563" s="451"/>
      <c r="C563" s="451"/>
      <c r="D563" s="451"/>
      <c r="E563" s="432"/>
      <c r="F563" s="432"/>
      <c r="G563" s="143"/>
      <c r="H563" s="433"/>
      <c r="I563" s="433"/>
      <c r="J563" s="9"/>
      <c r="K563" s="295"/>
    </row>
    <row r="564" spans="1:11" x14ac:dyDescent="0.2">
      <c r="A564" s="451"/>
      <c r="B564" s="451"/>
      <c r="C564" s="451"/>
      <c r="D564" s="451"/>
      <c r="E564" s="432"/>
      <c r="F564" s="432"/>
      <c r="G564" s="143"/>
      <c r="H564" s="433"/>
      <c r="I564" s="433"/>
      <c r="J564" s="9"/>
      <c r="K564" s="295"/>
    </row>
    <row r="565" spans="1:11" x14ac:dyDescent="0.2">
      <c r="A565" s="451"/>
      <c r="B565" s="451"/>
      <c r="C565" s="451"/>
      <c r="D565" s="451"/>
      <c r="E565" s="432"/>
      <c r="F565" s="432"/>
      <c r="G565" s="143"/>
      <c r="H565" s="433"/>
      <c r="I565" s="433"/>
      <c r="J565" s="9"/>
      <c r="K565" s="295"/>
    </row>
    <row r="566" spans="1:11" x14ac:dyDescent="0.2">
      <c r="A566" s="451"/>
      <c r="B566" s="451"/>
      <c r="C566" s="451"/>
      <c r="D566" s="451"/>
      <c r="E566" s="432"/>
      <c r="F566" s="432"/>
      <c r="G566" s="143"/>
      <c r="H566" s="433"/>
      <c r="I566" s="433"/>
      <c r="J566" s="9"/>
      <c r="K566" s="295"/>
    </row>
    <row r="567" spans="1:11" x14ac:dyDescent="0.2">
      <c r="A567" s="451"/>
      <c r="B567" s="451"/>
      <c r="C567" s="451"/>
      <c r="D567" s="451"/>
      <c r="E567" s="432"/>
      <c r="F567" s="432"/>
      <c r="G567" s="143"/>
      <c r="H567" s="433"/>
      <c r="I567" s="433"/>
      <c r="J567" s="9"/>
      <c r="K567" s="295"/>
    </row>
    <row r="568" spans="1:11" x14ac:dyDescent="0.2">
      <c r="A568" s="451"/>
      <c r="B568" s="451"/>
      <c r="C568" s="451"/>
      <c r="D568" s="451"/>
      <c r="E568" s="432"/>
      <c r="F568" s="432"/>
      <c r="G568" s="143"/>
      <c r="H568" s="433"/>
      <c r="I568" s="433"/>
      <c r="J568" s="9"/>
      <c r="K568" s="295"/>
    </row>
    <row r="569" spans="1:11" x14ac:dyDescent="0.2">
      <c r="A569" s="451"/>
      <c r="B569" s="451"/>
      <c r="C569" s="451"/>
      <c r="D569" s="451"/>
      <c r="E569" s="432"/>
      <c r="F569" s="432"/>
      <c r="G569" s="143"/>
      <c r="H569" s="433"/>
      <c r="I569" s="433"/>
      <c r="J569" s="9"/>
      <c r="K569" s="295"/>
    </row>
    <row r="570" spans="1:11" x14ac:dyDescent="0.2">
      <c r="A570" s="9"/>
      <c r="B570" s="9"/>
      <c r="C570" s="9"/>
      <c r="D570" s="9"/>
      <c r="E570" s="9"/>
      <c r="F570" s="29" t="s">
        <v>460</v>
      </c>
      <c r="G570" s="125">
        <f>SUM(G550:G569)</f>
        <v>0</v>
      </c>
      <c r="H570" s="544">
        <f>SUM(H550:I569)</f>
        <v>0</v>
      </c>
      <c r="I570" s="545"/>
      <c r="J570" s="9"/>
      <c r="K570" s="295"/>
    </row>
    <row r="571" spans="1:11" x14ac:dyDescent="0.2">
      <c r="A571" s="9"/>
      <c r="B571" s="9"/>
      <c r="C571" s="9"/>
      <c r="D571" s="9"/>
      <c r="E571" s="9"/>
      <c r="F571" s="9"/>
      <c r="G571" s="9"/>
      <c r="H571" s="9"/>
      <c r="I571" s="1"/>
      <c r="J571" s="9"/>
      <c r="K571" s="295"/>
    </row>
    <row r="572" spans="1:11" x14ac:dyDescent="0.2">
      <c r="A572" s="9" t="s">
        <v>522</v>
      </c>
      <c r="B572" s="9"/>
      <c r="C572" s="9"/>
      <c r="D572" s="9"/>
      <c r="E572" s="9"/>
      <c r="F572" s="9"/>
      <c r="G572" s="9"/>
      <c r="H572" s="9"/>
      <c r="I572" s="9"/>
      <c r="J572" s="9"/>
      <c r="K572" s="295"/>
    </row>
    <row r="573" spans="1:11" x14ac:dyDescent="0.2">
      <c r="A573" s="9"/>
      <c r="B573" s="9" t="s">
        <v>525</v>
      </c>
      <c r="C573" s="9"/>
      <c r="D573" s="9"/>
      <c r="E573" s="9"/>
      <c r="F573" s="9"/>
      <c r="G573" s="437"/>
      <c r="H573" s="437"/>
      <c r="I573" s="437"/>
      <c r="J573" s="9"/>
      <c r="K573" s="295"/>
    </row>
    <row r="574" spans="1:11" x14ac:dyDescent="0.2">
      <c r="A574" s="9"/>
      <c r="B574" s="9"/>
      <c r="C574" s="9"/>
      <c r="D574" s="9"/>
      <c r="E574" s="9"/>
      <c r="F574" s="9"/>
      <c r="G574" s="9"/>
      <c r="H574" s="9"/>
      <c r="I574" s="9"/>
      <c r="J574" s="9"/>
      <c r="K574" s="295"/>
    </row>
    <row r="575" spans="1:11" x14ac:dyDescent="0.2">
      <c r="A575" s="36" t="s">
        <v>526</v>
      </c>
      <c r="B575" s="9"/>
      <c r="C575" s="9"/>
      <c r="D575" s="9"/>
      <c r="E575" s="9"/>
      <c r="F575" s="9"/>
      <c r="G575" s="9"/>
      <c r="H575" s="9"/>
      <c r="I575" s="9"/>
      <c r="J575" s="9"/>
      <c r="K575" s="295"/>
    </row>
    <row r="576" spans="1:11" x14ac:dyDescent="0.2">
      <c r="A576" s="9" t="s">
        <v>527</v>
      </c>
      <c r="B576" s="9"/>
      <c r="C576" s="9"/>
      <c r="D576" s="9"/>
      <c r="E576" s="9"/>
      <c r="F576" s="9"/>
      <c r="G576" s="9"/>
      <c r="H576" s="9"/>
      <c r="I576" s="138"/>
      <c r="J576" s="9"/>
      <c r="K576" s="295"/>
    </row>
    <row r="577" spans="1:11" x14ac:dyDescent="0.2">
      <c r="A577" s="9" t="s">
        <v>528</v>
      </c>
      <c r="B577" s="9"/>
      <c r="C577" s="9"/>
      <c r="D577" s="9"/>
      <c r="E577" s="9"/>
      <c r="F577" s="9"/>
      <c r="G577" s="9"/>
      <c r="H577" s="9"/>
      <c r="I577" s="9"/>
      <c r="J577" s="9"/>
      <c r="K577" s="295"/>
    </row>
    <row r="578" spans="1:11" x14ac:dyDescent="0.2">
      <c r="A578" s="546"/>
      <c r="B578" s="557"/>
      <c r="C578" s="557"/>
      <c r="D578" s="557"/>
      <c r="E578" s="557"/>
      <c r="F578" s="557"/>
      <c r="G578" s="557"/>
      <c r="H578" s="557"/>
      <c r="I578" s="557"/>
      <c r="J578" s="558"/>
      <c r="K578" s="295"/>
    </row>
    <row r="579" spans="1:11" x14ac:dyDescent="0.2">
      <c r="A579" s="559"/>
      <c r="B579" s="560"/>
      <c r="C579" s="560"/>
      <c r="D579" s="560"/>
      <c r="E579" s="560"/>
      <c r="F579" s="560"/>
      <c r="G579" s="560"/>
      <c r="H579" s="560"/>
      <c r="I579" s="560"/>
      <c r="J579" s="561"/>
      <c r="K579" s="295"/>
    </row>
    <row r="580" spans="1:11" x14ac:dyDescent="0.2">
      <c r="A580" s="559"/>
      <c r="B580" s="560"/>
      <c r="C580" s="560"/>
      <c r="D580" s="560"/>
      <c r="E580" s="560"/>
      <c r="F580" s="560"/>
      <c r="G580" s="560"/>
      <c r="H580" s="560"/>
      <c r="I580" s="560"/>
      <c r="J580" s="561"/>
      <c r="K580" s="295"/>
    </row>
    <row r="581" spans="1:11" x14ac:dyDescent="0.2">
      <c r="A581" s="559"/>
      <c r="B581" s="560"/>
      <c r="C581" s="560"/>
      <c r="D581" s="560"/>
      <c r="E581" s="560"/>
      <c r="F581" s="560"/>
      <c r="G581" s="560"/>
      <c r="H581" s="560"/>
      <c r="I581" s="560"/>
      <c r="J581" s="561"/>
      <c r="K581" s="295"/>
    </row>
    <row r="582" spans="1:11" x14ac:dyDescent="0.2">
      <c r="A582" s="559"/>
      <c r="B582" s="560"/>
      <c r="C582" s="560"/>
      <c r="D582" s="560"/>
      <c r="E582" s="560"/>
      <c r="F582" s="560"/>
      <c r="G582" s="560"/>
      <c r="H582" s="560"/>
      <c r="I582" s="560"/>
      <c r="J582" s="561"/>
      <c r="K582" s="295"/>
    </row>
    <row r="583" spans="1:11" x14ac:dyDescent="0.2">
      <c r="A583" s="559"/>
      <c r="B583" s="560"/>
      <c r="C583" s="560"/>
      <c r="D583" s="560"/>
      <c r="E583" s="560"/>
      <c r="F583" s="560"/>
      <c r="G583" s="560"/>
      <c r="H583" s="560"/>
      <c r="I583" s="560"/>
      <c r="J583" s="561"/>
      <c r="K583" s="295"/>
    </row>
    <row r="584" spans="1:11" x14ac:dyDescent="0.2">
      <c r="A584" s="562"/>
      <c r="B584" s="563"/>
      <c r="C584" s="563"/>
      <c r="D584" s="563"/>
      <c r="E584" s="563"/>
      <c r="F584" s="563"/>
      <c r="G584" s="563"/>
      <c r="H584" s="563"/>
      <c r="I584" s="563"/>
      <c r="J584" s="564"/>
      <c r="K584" s="295"/>
    </row>
    <row r="585" spans="1:11" x14ac:dyDescent="0.2">
      <c r="A585" s="9" t="s">
        <v>529</v>
      </c>
      <c r="B585" s="9"/>
      <c r="C585" s="9"/>
      <c r="D585" s="9"/>
      <c r="E585" s="9"/>
      <c r="F585" s="9"/>
      <c r="G585" s="9"/>
      <c r="H585" s="9"/>
      <c r="I585" s="138"/>
      <c r="J585" s="9"/>
      <c r="K585" s="295"/>
    </row>
    <row r="586" spans="1:11" x14ac:dyDescent="0.2">
      <c r="A586" s="9"/>
      <c r="B586" s="9"/>
      <c r="C586" s="9"/>
      <c r="D586"/>
      <c r="E586"/>
      <c r="F586"/>
      <c r="G586"/>
      <c r="H586"/>
      <c r="I586"/>
      <c r="J586" s="9"/>
      <c r="K586" s="295"/>
    </row>
    <row r="587" spans="1:11" x14ac:dyDescent="0.2">
      <c r="A587" s="441" t="s">
        <v>1060</v>
      </c>
      <c r="B587" s="441"/>
      <c r="C587" s="441"/>
      <c r="D587" s="441"/>
      <c r="E587" s="441"/>
      <c r="F587" s="441"/>
      <c r="G587" s="441"/>
      <c r="H587" s="441"/>
      <c r="I587" s="441"/>
      <c r="J587" s="441"/>
      <c r="K587" s="295"/>
    </row>
    <row r="588" spans="1:11" x14ac:dyDescent="0.2">
      <c r="A588" s="441" t="s">
        <v>1061</v>
      </c>
      <c r="B588" s="441"/>
      <c r="C588" s="441"/>
      <c r="D588" s="441"/>
      <c r="E588" s="441"/>
      <c r="F588" s="441"/>
      <c r="G588" s="441"/>
      <c r="H588" s="441"/>
      <c r="I588" s="441"/>
      <c r="J588" s="441"/>
      <c r="K588" s="295"/>
    </row>
    <row r="589" spans="1:11" x14ac:dyDescent="0.2">
      <c r="A589" s="441" t="s">
        <v>88</v>
      </c>
      <c r="B589" s="441"/>
      <c r="C589" s="441"/>
      <c r="D589" s="441"/>
      <c r="E589" s="441"/>
      <c r="F589" s="441"/>
      <c r="G589" s="441"/>
      <c r="H589" s="441"/>
      <c r="I589" s="441"/>
      <c r="J589" s="441"/>
      <c r="K589" s="295"/>
    </row>
    <row r="590" spans="1:11" x14ac:dyDescent="0.2">
      <c r="A590" s="26"/>
      <c r="B590" s="9"/>
      <c r="C590" s="9"/>
      <c r="D590" s="446" t="str">
        <f>IF($B$229="","",$B$229)</f>
        <v/>
      </c>
      <c r="E590" s="446"/>
      <c r="F590" s="446"/>
      <c r="G590" s="446"/>
      <c r="H590" s="9"/>
      <c r="I590" s="27"/>
      <c r="J590" s="9"/>
      <c r="K590" s="295"/>
    </row>
    <row r="591" spans="1:11" x14ac:dyDescent="0.2">
      <c r="A591" s="9"/>
      <c r="B591" s="9"/>
      <c r="C591" s="9"/>
      <c r="D591" s="443" t="s">
        <v>1143</v>
      </c>
      <c r="E591" s="443"/>
      <c r="F591" s="443"/>
      <c r="G591" s="443"/>
      <c r="H591" s="9"/>
      <c r="I591" s="9"/>
      <c r="J591" s="9"/>
      <c r="K591" s="295"/>
    </row>
    <row r="592" spans="1:11" x14ac:dyDescent="0.2">
      <c r="A592" s="443" t="s">
        <v>1037</v>
      </c>
      <c r="B592" s="443"/>
      <c r="C592" s="443"/>
      <c r="D592" s="443"/>
      <c r="E592" s="443"/>
      <c r="F592" s="443"/>
      <c r="G592" s="443"/>
      <c r="H592" s="443"/>
      <c r="I592" s="443"/>
      <c r="J592" s="443"/>
      <c r="K592" s="295"/>
    </row>
    <row r="593" spans="1:11" x14ac:dyDescent="0.2">
      <c r="A593" s="9"/>
      <c r="B593" s="9"/>
      <c r="C593" s="9"/>
      <c r="D593" s="9"/>
      <c r="E593" s="9"/>
      <c r="F593" s="9"/>
      <c r="G593" s="9"/>
      <c r="H593" s="9"/>
      <c r="I593" s="50"/>
      <c r="J593" s="50"/>
      <c r="K593" s="295"/>
    </row>
    <row r="594" spans="1:11" x14ac:dyDescent="0.2">
      <c r="A594" s="36" t="s">
        <v>931</v>
      </c>
      <c r="B594" s="9"/>
      <c r="C594" s="9"/>
      <c r="D594" s="9"/>
      <c r="E594" s="9"/>
      <c r="F594" s="9"/>
      <c r="G594" s="612"/>
      <c r="H594" s="612"/>
      <c r="I594" s="612"/>
      <c r="J594" s="9"/>
      <c r="K594" s="295"/>
    </row>
    <row r="595" spans="1:11" x14ac:dyDescent="0.2">
      <c r="A595" s="33" t="s">
        <v>572</v>
      </c>
      <c r="B595" s="9"/>
      <c r="C595" s="9"/>
      <c r="D595" s="9"/>
      <c r="E595" s="9"/>
      <c r="F595" s="9"/>
      <c r="G595" s="476" t="s">
        <v>571</v>
      </c>
      <c r="H595" s="476"/>
      <c r="I595" s="476"/>
      <c r="J595" s="476"/>
      <c r="K595" s="295"/>
    </row>
    <row r="596" spans="1:11" x14ac:dyDescent="0.2">
      <c r="A596" s="36" t="s">
        <v>234</v>
      </c>
      <c r="B596" s="9"/>
      <c r="C596" s="9"/>
      <c r="D596" s="9"/>
      <c r="E596" s="9"/>
      <c r="F596" s="9"/>
      <c r="G596" s="121"/>
      <c r="H596" s="121"/>
      <c r="I596" s="9"/>
      <c r="J596" s="9"/>
      <c r="K596" s="295"/>
    </row>
    <row r="597" spans="1:11" x14ac:dyDescent="0.2">
      <c r="A597" s="9" t="s">
        <v>530</v>
      </c>
      <c r="B597" s="9"/>
      <c r="C597" s="9"/>
      <c r="D597" s="9"/>
      <c r="E597" s="9"/>
      <c r="F597" s="9"/>
      <c r="G597" s="453"/>
      <c r="H597" s="453"/>
      <c r="I597" s="9"/>
      <c r="J597" s="9"/>
      <c r="K597" s="295"/>
    </row>
    <row r="598" spans="1:11" x14ac:dyDescent="0.2">
      <c r="A598" s="9" t="s">
        <v>531</v>
      </c>
      <c r="B598" s="9"/>
      <c r="C598" s="9"/>
      <c r="D598" s="9"/>
      <c r="E598" s="9"/>
      <c r="F598" s="9"/>
      <c r="G598" s="453"/>
      <c r="H598" s="453"/>
      <c r="I598" s="9"/>
      <c r="J598" s="9"/>
      <c r="K598" s="295"/>
    </row>
    <row r="599" spans="1:11" x14ac:dyDescent="0.2">
      <c r="A599" s="9" t="s">
        <v>532</v>
      </c>
      <c r="B599" s="9"/>
      <c r="C599" s="9"/>
      <c r="D599" s="9"/>
      <c r="E599" s="9"/>
      <c r="F599" s="9"/>
      <c r="G599" s="453"/>
      <c r="H599" s="453"/>
      <c r="I599" s="9"/>
      <c r="J599" s="9"/>
      <c r="K599" s="295"/>
    </row>
    <row r="600" spans="1:11" x14ac:dyDescent="0.2">
      <c r="A600" s="9" t="s">
        <v>533</v>
      </c>
      <c r="B600" s="9"/>
      <c r="C600" s="9"/>
      <c r="D600" s="9"/>
      <c r="E600" s="9"/>
      <c r="F600" s="9"/>
      <c r="G600" s="453"/>
      <c r="H600" s="453"/>
      <c r="I600" s="9"/>
      <c r="J600" s="9"/>
      <c r="K600" s="295"/>
    </row>
    <row r="601" spans="1:11" x14ac:dyDescent="0.2">
      <c r="A601" s="9" t="s">
        <v>534</v>
      </c>
      <c r="B601" s="9"/>
      <c r="C601" s="9"/>
      <c r="D601" s="9"/>
      <c r="E601" s="9"/>
      <c r="F601" s="9"/>
      <c r="G601" s="453"/>
      <c r="H601" s="453"/>
      <c r="I601" s="9"/>
      <c r="J601" s="9"/>
      <c r="K601" s="295"/>
    </row>
    <row r="602" spans="1:11" x14ac:dyDescent="0.2">
      <c r="A602" s="9" t="s">
        <v>535</v>
      </c>
      <c r="B602" s="9"/>
      <c r="C602" s="9"/>
      <c r="D602" s="9"/>
      <c r="E602" s="9"/>
      <c r="F602" s="9"/>
      <c r="G602" s="453"/>
      <c r="H602" s="453"/>
      <c r="I602" s="9"/>
      <c r="J602" s="9"/>
      <c r="K602" s="295"/>
    </row>
    <row r="603" spans="1:11" x14ac:dyDescent="0.2">
      <c r="A603" s="9" t="s">
        <v>536</v>
      </c>
      <c r="B603" s="9"/>
      <c r="C603" s="9"/>
      <c r="D603" s="9"/>
      <c r="E603" s="9"/>
      <c r="F603" s="9"/>
      <c r="G603" s="453"/>
      <c r="H603" s="453"/>
      <c r="I603" s="9"/>
      <c r="J603" s="9"/>
      <c r="K603" s="295"/>
    </row>
    <row r="604" spans="1:11" x14ac:dyDescent="0.2">
      <c r="A604" s="9" t="s">
        <v>548</v>
      </c>
      <c r="B604" s="9"/>
      <c r="C604" s="9"/>
      <c r="D604" s="9"/>
      <c r="E604" s="9"/>
      <c r="F604" s="9"/>
      <c r="G604" s="453"/>
      <c r="H604" s="453"/>
      <c r="I604" s="9"/>
      <c r="J604" s="9"/>
      <c r="K604" s="295"/>
    </row>
    <row r="605" spans="1:11" x14ac:dyDescent="0.2">
      <c r="A605" s="9" t="s">
        <v>549</v>
      </c>
      <c r="B605" s="9"/>
      <c r="C605" s="9"/>
      <c r="D605" s="9"/>
      <c r="E605" s="9"/>
      <c r="F605" s="9"/>
      <c r="G605" s="453"/>
      <c r="H605" s="453"/>
      <c r="I605" s="9"/>
      <c r="J605" s="9"/>
      <c r="K605" s="295"/>
    </row>
    <row r="606" spans="1:11" x14ac:dyDescent="0.2">
      <c r="A606" s="9" t="s">
        <v>550</v>
      </c>
      <c r="B606" s="9"/>
      <c r="C606" s="9"/>
      <c r="D606" s="9"/>
      <c r="E606" s="9"/>
      <c r="F606" s="9"/>
      <c r="G606" s="453"/>
      <c r="H606" s="453"/>
      <c r="I606" s="9"/>
      <c r="J606" s="9"/>
      <c r="K606" s="295"/>
    </row>
    <row r="607" spans="1:11" x14ac:dyDescent="0.2">
      <c r="A607" s="9" t="s">
        <v>551</v>
      </c>
      <c r="B607" s="437"/>
      <c r="C607" s="437"/>
      <c r="D607" s="437"/>
      <c r="E607" s="437"/>
      <c r="F607" s="9"/>
      <c r="G607" s="453"/>
      <c r="H607" s="453"/>
      <c r="I607" s="9"/>
      <c r="J607" s="9"/>
      <c r="K607" s="295"/>
    </row>
    <row r="608" spans="1:11" x14ac:dyDescent="0.2">
      <c r="A608" s="9" t="s">
        <v>551</v>
      </c>
      <c r="B608" s="452"/>
      <c r="C608" s="452"/>
      <c r="D608" s="452"/>
      <c r="E608" s="452"/>
      <c r="F608" s="9"/>
      <c r="G608" s="453"/>
      <c r="H608" s="453"/>
      <c r="I608" s="9"/>
      <c r="J608" s="9"/>
      <c r="K608" s="295"/>
    </row>
    <row r="609" spans="1:11" x14ac:dyDescent="0.2">
      <c r="A609" s="9"/>
      <c r="B609" s="9"/>
      <c r="C609" s="9"/>
      <c r="D609" s="9"/>
      <c r="E609" s="9"/>
      <c r="F609" s="9"/>
      <c r="G609" s="9"/>
      <c r="H609" s="9" t="s">
        <v>570</v>
      </c>
      <c r="I609" s="533">
        <f>SUM(G597:H608)</f>
        <v>0</v>
      </c>
      <c r="J609" s="533"/>
      <c r="K609" s="295"/>
    </row>
    <row r="610" spans="1:11" x14ac:dyDescent="0.2">
      <c r="A610" s="36" t="s">
        <v>235</v>
      </c>
      <c r="B610" s="9"/>
      <c r="C610" s="9"/>
      <c r="D610" s="9"/>
      <c r="E610" s="9"/>
      <c r="F610" s="9"/>
      <c r="G610" s="9"/>
      <c r="H610" s="9"/>
      <c r="I610" s="9"/>
      <c r="J610" s="9"/>
      <c r="K610" s="295"/>
    </row>
    <row r="611" spans="1:11" x14ac:dyDescent="0.2">
      <c r="A611" s="9" t="s">
        <v>554</v>
      </c>
      <c r="B611" s="9"/>
      <c r="C611" s="9"/>
      <c r="D611" s="9"/>
      <c r="E611" s="9"/>
      <c r="F611" s="9"/>
      <c r="G611" s="453"/>
      <c r="H611" s="453"/>
      <c r="I611" s="9"/>
      <c r="J611" s="9"/>
      <c r="K611" s="295"/>
    </row>
    <row r="612" spans="1:11" x14ac:dyDescent="0.2">
      <c r="A612" s="9" t="s">
        <v>555</v>
      </c>
      <c r="B612" s="9"/>
      <c r="C612" s="9"/>
      <c r="D612" s="9"/>
      <c r="E612" s="9"/>
      <c r="F612" s="9"/>
      <c r="G612" s="453"/>
      <c r="H612" s="453"/>
      <c r="I612" s="9"/>
      <c r="J612" s="9"/>
      <c r="K612" s="295"/>
    </row>
    <row r="613" spans="1:11" x14ac:dyDescent="0.2">
      <c r="A613" s="9" t="s">
        <v>556</v>
      </c>
      <c r="B613" s="9"/>
      <c r="C613" s="9"/>
      <c r="D613" s="9"/>
      <c r="E613" s="9"/>
      <c r="F613" s="9"/>
      <c r="G613" s="453"/>
      <c r="H613" s="453"/>
      <c r="I613" s="9"/>
      <c r="J613" s="9"/>
      <c r="K613" s="295"/>
    </row>
    <row r="614" spans="1:11" x14ac:dyDescent="0.2">
      <c r="A614" s="9" t="s">
        <v>557</v>
      </c>
      <c r="B614" s="9"/>
      <c r="C614" s="9"/>
      <c r="D614" s="9"/>
      <c r="E614" s="9"/>
      <c r="F614" s="9"/>
      <c r="G614" s="453"/>
      <c r="H614" s="453"/>
      <c r="I614" s="9"/>
      <c r="J614" s="9"/>
      <c r="K614" s="295"/>
    </row>
    <row r="615" spans="1:11" x14ac:dyDescent="0.2">
      <c r="A615" s="9" t="s">
        <v>45</v>
      </c>
      <c r="B615" s="9"/>
      <c r="C615" s="9"/>
      <c r="D615" s="9"/>
      <c r="E615" s="9"/>
      <c r="F615" s="9"/>
      <c r="G615" s="453"/>
      <c r="H615" s="453"/>
      <c r="I615" s="9"/>
      <c r="J615" s="9"/>
      <c r="K615" s="295"/>
    </row>
    <row r="616" spans="1:11" x14ac:dyDescent="0.2">
      <c r="A616" s="9" t="s">
        <v>558</v>
      </c>
      <c r="B616" s="9"/>
      <c r="C616" s="9"/>
      <c r="D616" s="9"/>
      <c r="E616" s="9"/>
      <c r="F616" s="9"/>
      <c r="G616" s="453"/>
      <c r="H616" s="453"/>
      <c r="I616" s="9"/>
      <c r="J616" s="9"/>
      <c r="K616" s="295"/>
    </row>
    <row r="617" spans="1:11" x14ac:dyDescent="0.2">
      <c r="A617" s="9" t="s">
        <v>559</v>
      </c>
      <c r="B617" s="9"/>
      <c r="C617" s="9"/>
      <c r="D617" s="9"/>
      <c r="E617" s="9"/>
      <c r="F617" s="9"/>
      <c r="G617" s="453"/>
      <c r="H617" s="453"/>
      <c r="I617" s="9"/>
      <c r="J617" s="9"/>
      <c r="K617" s="295"/>
    </row>
    <row r="618" spans="1:11" x14ac:dyDescent="0.2">
      <c r="A618" s="9" t="s">
        <v>560</v>
      </c>
      <c r="B618" s="9"/>
      <c r="C618" s="9"/>
      <c r="D618" s="9"/>
      <c r="E618" s="9"/>
      <c r="F618" s="9"/>
      <c r="G618" s="453"/>
      <c r="H618" s="453"/>
      <c r="I618" s="9"/>
      <c r="J618" s="9"/>
      <c r="K618" s="295"/>
    </row>
    <row r="619" spans="1:11" x14ac:dyDescent="0.2">
      <c r="A619" s="9" t="s">
        <v>561</v>
      </c>
      <c r="B619" s="9"/>
      <c r="C619" s="9"/>
      <c r="D619" s="9"/>
      <c r="E619" s="9"/>
      <c r="F619" s="9"/>
      <c r="G619" s="453"/>
      <c r="H619" s="453"/>
      <c r="I619" s="9"/>
      <c r="J619" s="9"/>
      <c r="K619" s="295"/>
    </row>
    <row r="620" spans="1:11" x14ac:dyDescent="0.2">
      <c r="A620" s="9" t="s">
        <v>562</v>
      </c>
      <c r="B620" s="9"/>
      <c r="C620" s="9"/>
      <c r="D620" s="9"/>
      <c r="E620" s="9"/>
      <c r="F620" s="9"/>
      <c r="G620" s="453"/>
      <c r="H620" s="453"/>
      <c r="I620" s="9"/>
      <c r="J620" s="9"/>
      <c r="K620" s="295"/>
    </row>
    <row r="621" spans="1:11" x14ac:dyDescent="0.2">
      <c r="A621" s="9" t="s">
        <v>551</v>
      </c>
      <c r="B621" s="437"/>
      <c r="C621" s="437"/>
      <c r="D621" s="437"/>
      <c r="E621" s="437"/>
      <c r="F621" s="9"/>
      <c r="G621" s="453"/>
      <c r="H621" s="453"/>
      <c r="I621" s="9"/>
      <c r="J621" s="9"/>
      <c r="K621" s="295"/>
    </row>
    <row r="622" spans="1:11" x14ac:dyDescent="0.2">
      <c r="A622" s="9" t="s">
        <v>551</v>
      </c>
      <c r="B622" s="452"/>
      <c r="C622" s="452"/>
      <c r="D622" s="452"/>
      <c r="E622" s="452"/>
      <c r="F622" s="9"/>
      <c r="G622" s="453"/>
      <c r="H622" s="453"/>
      <c r="I622" s="9"/>
      <c r="J622" s="9"/>
      <c r="K622" s="295"/>
    </row>
    <row r="623" spans="1:11" x14ac:dyDescent="0.2">
      <c r="A623" s="9"/>
      <c r="B623" s="9"/>
      <c r="C623" s="9"/>
      <c r="D623" s="9"/>
      <c r="E623" s="9"/>
      <c r="F623" s="9"/>
      <c r="G623" s="9"/>
      <c r="H623" s="9" t="s">
        <v>570</v>
      </c>
      <c r="I623" s="533">
        <f>SUM(G611:H622)</f>
        <v>0</v>
      </c>
      <c r="J623" s="533"/>
      <c r="K623" s="295"/>
    </row>
    <row r="624" spans="1:11" x14ac:dyDescent="0.2">
      <c r="A624" s="36" t="s">
        <v>236</v>
      </c>
      <c r="B624" s="9"/>
      <c r="C624" s="9"/>
      <c r="D624" s="9"/>
      <c r="E624" s="9"/>
      <c r="F624" s="9"/>
      <c r="G624" s="9"/>
      <c r="H624" s="9"/>
      <c r="I624" s="9"/>
      <c r="J624" s="9"/>
      <c r="K624" s="295"/>
    </row>
    <row r="625" spans="1:11" x14ac:dyDescent="0.2">
      <c r="A625" s="9" t="s">
        <v>563</v>
      </c>
      <c r="B625" s="9"/>
      <c r="C625" s="9"/>
      <c r="D625" s="9"/>
      <c r="E625" s="9"/>
      <c r="F625" s="9"/>
      <c r="G625" s="453"/>
      <c r="H625" s="453"/>
      <c r="I625" s="9"/>
      <c r="J625" s="9"/>
      <c r="K625" s="295"/>
    </row>
    <row r="626" spans="1:11" x14ac:dyDescent="0.2">
      <c r="A626" s="9" t="s">
        <v>440</v>
      </c>
      <c r="B626" s="437"/>
      <c r="C626" s="437"/>
      <c r="D626" s="437"/>
      <c r="E626" s="437"/>
      <c r="F626" s="9"/>
      <c r="G626" s="453"/>
      <c r="H626" s="453"/>
      <c r="I626" s="9"/>
      <c r="J626" s="9"/>
      <c r="K626" s="295"/>
    </row>
    <row r="627" spans="1:11" x14ac:dyDescent="0.2">
      <c r="A627" s="9"/>
      <c r="B627" s="9"/>
      <c r="C627" s="9"/>
      <c r="D627" s="9"/>
      <c r="E627" s="9"/>
      <c r="F627" s="9"/>
      <c r="G627" s="9"/>
      <c r="H627" s="9" t="s">
        <v>570</v>
      </c>
      <c r="I627" s="533">
        <f>SUM(G625:H626)</f>
        <v>0</v>
      </c>
      <c r="J627" s="533"/>
      <c r="K627" s="295"/>
    </row>
    <row r="628" spans="1:11" x14ac:dyDescent="0.2">
      <c r="A628" s="36" t="s">
        <v>237</v>
      </c>
      <c r="B628" s="9"/>
      <c r="C628" s="9"/>
      <c r="D628" s="9"/>
      <c r="E628" s="9"/>
      <c r="F628" s="9"/>
      <c r="G628" s="9"/>
      <c r="H628" s="9"/>
      <c r="I628" s="9"/>
      <c r="J628" s="9"/>
      <c r="K628" s="295"/>
    </row>
    <row r="629" spans="1:11" x14ac:dyDescent="0.2">
      <c r="A629" s="9" t="s">
        <v>564</v>
      </c>
      <c r="B629" s="9"/>
      <c r="C629" s="9"/>
      <c r="D629" s="9"/>
      <c r="E629" s="9"/>
      <c r="F629" s="9"/>
      <c r="G629" s="453"/>
      <c r="H629" s="453"/>
      <c r="I629" s="9"/>
      <c r="J629" s="9"/>
      <c r="K629" s="295"/>
    </row>
    <row r="630" spans="1:11" x14ac:dyDescent="0.2">
      <c r="A630" s="9" t="s">
        <v>565</v>
      </c>
      <c r="B630" s="9"/>
      <c r="C630" s="9"/>
      <c r="D630" s="9"/>
      <c r="E630" s="9"/>
      <c r="F630" s="9"/>
      <c r="G630" s="453"/>
      <c r="H630" s="453"/>
      <c r="I630" s="9"/>
      <c r="J630" s="9"/>
      <c r="K630" s="295"/>
    </row>
    <row r="631" spans="1:11" x14ac:dyDescent="0.2">
      <c r="A631" s="9" t="s">
        <v>566</v>
      </c>
      <c r="B631" s="9"/>
      <c r="C631" s="9"/>
      <c r="D631" s="9"/>
      <c r="E631" s="9"/>
      <c r="F631" s="9"/>
      <c r="G631" s="453"/>
      <c r="H631" s="453"/>
      <c r="I631" s="9"/>
      <c r="J631" s="9"/>
      <c r="K631" s="295"/>
    </row>
    <row r="632" spans="1:11" x14ac:dyDescent="0.2">
      <c r="A632" s="9" t="s">
        <v>567</v>
      </c>
      <c r="B632" s="9"/>
      <c r="C632" s="9"/>
      <c r="D632" s="9"/>
      <c r="E632" s="9"/>
      <c r="F632" s="9"/>
      <c r="G632" s="453"/>
      <c r="H632" s="453"/>
      <c r="I632" s="9"/>
      <c r="J632" s="9"/>
      <c r="K632" s="295"/>
    </row>
    <row r="633" spans="1:11" x14ac:dyDescent="0.2">
      <c r="A633" s="9" t="s">
        <v>551</v>
      </c>
      <c r="B633" s="437"/>
      <c r="C633" s="437"/>
      <c r="D633" s="437"/>
      <c r="E633" s="437"/>
      <c r="F633" s="9"/>
      <c r="G633" s="453"/>
      <c r="H633" s="453"/>
      <c r="I633" s="9"/>
      <c r="J633" s="9"/>
      <c r="K633" s="295"/>
    </row>
    <row r="634" spans="1:11" x14ac:dyDescent="0.2">
      <c r="A634" s="9"/>
      <c r="B634" s="9"/>
      <c r="C634" s="9"/>
      <c r="D634" s="9"/>
      <c r="E634" s="9"/>
      <c r="F634" s="9"/>
      <c r="G634" s="9"/>
      <c r="H634" s="9" t="s">
        <v>570</v>
      </c>
      <c r="I634" s="533">
        <f>SUM(G629:H633)</f>
        <v>0</v>
      </c>
      <c r="J634" s="533"/>
      <c r="K634" s="295"/>
    </row>
    <row r="635" spans="1:11" x14ac:dyDescent="0.2">
      <c r="A635" s="36" t="s">
        <v>238</v>
      </c>
      <c r="B635" s="9"/>
      <c r="C635" s="9"/>
      <c r="D635" s="9"/>
      <c r="E635" s="9"/>
      <c r="F635" s="9"/>
      <c r="G635" s="9"/>
      <c r="H635" s="9"/>
      <c r="I635" s="9"/>
      <c r="J635" s="9"/>
      <c r="K635" s="295"/>
    </row>
    <row r="636" spans="1:11" x14ac:dyDescent="0.2">
      <c r="A636" s="9" t="s">
        <v>568</v>
      </c>
      <c r="B636" s="9"/>
      <c r="C636" s="9"/>
      <c r="D636" s="9"/>
      <c r="E636" s="9"/>
      <c r="F636" s="136"/>
      <c r="G636" s="453"/>
      <c r="H636" s="453"/>
      <c r="I636" s="9"/>
      <c r="J636" s="9"/>
      <c r="K636" s="295"/>
    </row>
    <row r="637" spans="1:11" x14ac:dyDescent="0.2">
      <c r="A637" s="9" t="s">
        <v>569</v>
      </c>
      <c r="B637" s="9"/>
      <c r="C637" s="9"/>
      <c r="D637" s="9"/>
      <c r="E637" s="9"/>
      <c r="F637" s="9"/>
      <c r="G637" s="453"/>
      <c r="H637" s="453"/>
      <c r="I637" s="9"/>
      <c r="J637" s="9"/>
      <c r="K637" s="295"/>
    </row>
    <row r="638" spans="1:11" x14ac:dyDescent="0.2">
      <c r="A638" s="9" t="s">
        <v>551</v>
      </c>
      <c r="B638" s="437"/>
      <c r="C638" s="437"/>
      <c r="D638" s="437"/>
      <c r="E638" s="437"/>
      <c r="F638" s="9"/>
      <c r="G638" s="453"/>
      <c r="H638" s="453"/>
      <c r="I638" s="9"/>
      <c r="J638" s="9"/>
      <c r="K638" s="295"/>
    </row>
    <row r="639" spans="1:11" x14ac:dyDescent="0.2">
      <c r="A639" s="9" t="s">
        <v>551</v>
      </c>
      <c r="B639" s="452"/>
      <c r="C639" s="452"/>
      <c r="D639" s="452"/>
      <c r="E639" s="452"/>
      <c r="F639" s="9"/>
      <c r="G639" s="453"/>
      <c r="H639" s="453"/>
      <c r="I639" s="9"/>
      <c r="J639" s="9"/>
      <c r="K639" s="295"/>
    </row>
    <row r="640" spans="1:11" x14ac:dyDescent="0.2">
      <c r="A640" s="9"/>
      <c r="B640" s="9"/>
      <c r="C640" s="9"/>
      <c r="D640" s="9"/>
      <c r="E640" s="9"/>
      <c r="F640" s="9"/>
      <c r="G640" s="9"/>
      <c r="H640" s="9" t="s">
        <v>570</v>
      </c>
      <c r="I640" s="533">
        <f>SUM(G636:H639)</f>
        <v>0</v>
      </c>
      <c r="J640" s="533"/>
      <c r="K640" s="295"/>
    </row>
    <row r="641" spans="1:11" x14ac:dyDescent="0.2">
      <c r="A641" s="441" t="s">
        <v>1060</v>
      </c>
      <c r="B641" s="441"/>
      <c r="C641" s="441"/>
      <c r="D641" s="441"/>
      <c r="E641" s="441"/>
      <c r="F641" s="441"/>
      <c r="G641" s="441"/>
      <c r="H641" s="441"/>
      <c r="I641" s="441"/>
      <c r="J641" s="441"/>
      <c r="K641" s="295"/>
    </row>
    <row r="642" spans="1:11" x14ac:dyDescent="0.2">
      <c r="A642" s="441" t="s">
        <v>1061</v>
      </c>
      <c r="B642" s="441"/>
      <c r="C642" s="441"/>
      <c r="D642" s="441"/>
      <c r="E642" s="441"/>
      <c r="F642" s="441"/>
      <c r="G642" s="441"/>
      <c r="H642" s="441"/>
      <c r="I642" s="441"/>
      <c r="J642" s="441"/>
      <c r="K642" s="295"/>
    </row>
    <row r="643" spans="1:11" x14ac:dyDescent="0.2">
      <c r="A643" s="441" t="s">
        <v>88</v>
      </c>
      <c r="B643" s="441"/>
      <c r="C643" s="441"/>
      <c r="D643" s="441"/>
      <c r="E643" s="441"/>
      <c r="F643" s="441"/>
      <c r="G643" s="441"/>
      <c r="H643" s="441"/>
      <c r="I643" s="441"/>
      <c r="J643" s="441"/>
      <c r="K643" s="295"/>
    </row>
    <row r="644" spans="1:11" x14ac:dyDescent="0.2">
      <c r="A644" s="26"/>
      <c r="B644" s="9"/>
      <c r="C644" s="9"/>
      <c r="D644" s="446" t="str">
        <f>IF($B$229="","",$B$229)</f>
        <v/>
      </c>
      <c r="E644" s="446"/>
      <c r="F644" s="446"/>
      <c r="G644" s="446"/>
      <c r="H644" s="9"/>
      <c r="I644" s="27"/>
      <c r="J644" s="9"/>
      <c r="K644" s="295"/>
    </row>
    <row r="645" spans="1:11" x14ac:dyDescent="0.2">
      <c r="A645" s="9"/>
      <c r="B645" s="9"/>
      <c r="C645" s="9"/>
      <c r="D645" s="443" t="s">
        <v>1143</v>
      </c>
      <c r="E645" s="443"/>
      <c r="F645" s="443"/>
      <c r="G645" s="443"/>
      <c r="H645" s="9"/>
      <c r="I645" s="9"/>
      <c r="J645" s="9"/>
      <c r="K645" s="295"/>
    </row>
    <row r="646" spans="1:11" x14ac:dyDescent="0.2">
      <c r="A646" s="443" t="s">
        <v>1036</v>
      </c>
      <c r="B646" s="443"/>
      <c r="C646" s="443"/>
      <c r="D646" s="443"/>
      <c r="E646" s="443"/>
      <c r="F646" s="443"/>
      <c r="G646" s="443"/>
      <c r="H646" s="443"/>
      <c r="I646" s="443"/>
      <c r="J646" s="443"/>
      <c r="K646" s="295"/>
    </row>
    <row r="647" spans="1:11" x14ac:dyDescent="0.2">
      <c r="A647" s="9"/>
      <c r="B647" s="9"/>
      <c r="C647" s="9"/>
      <c r="D647" s="9"/>
      <c r="E647" s="9"/>
      <c r="F647" s="9"/>
      <c r="G647" s="9"/>
      <c r="H647" s="9"/>
      <c r="I647" s="9"/>
      <c r="J647" s="9"/>
      <c r="K647" s="295"/>
    </row>
    <row r="648" spans="1:11" x14ac:dyDescent="0.2">
      <c r="A648" s="33" t="s">
        <v>572</v>
      </c>
      <c r="B648" s="9"/>
      <c r="C648" s="9"/>
      <c r="D648" s="9"/>
      <c r="E648" s="9"/>
      <c r="F648" s="9"/>
      <c r="G648" s="476" t="s">
        <v>571</v>
      </c>
      <c r="H648" s="476"/>
      <c r="I648" s="476"/>
      <c r="J648" s="476"/>
      <c r="K648" s="295"/>
    </row>
    <row r="649" spans="1:11" x14ac:dyDescent="0.2">
      <c r="A649" s="36" t="s">
        <v>239</v>
      </c>
      <c r="B649" s="9"/>
      <c r="C649" s="9"/>
      <c r="D649" s="9"/>
      <c r="E649" s="9"/>
      <c r="F649" s="9"/>
      <c r="G649" s="1"/>
      <c r="H649" s="1"/>
      <c r="I649" s="9"/>
      <c r="J649" s="9"/>
      <c r="K649" s="295"/>
    </row>
    <row r="650" spans="1:11" x14ac:dyDescent="0.2">
      <c r="A650" s="9" t="s">
        <v>989</v>
      </c>
      <c r="B650" s="9"/>
      <c r="C650" s="9"/>
      <c r="D650" s="9"/>
      <c r="E650" s="9"/>
      <c r="F650" s="9"/>
      <c r="G650" s="453"/>
      <c r="H650" s="453"/>
      <c r="I650" s="9"/>
      <c r="J650" s="9"/>
      <c r="K650" s="295"/>
    </row>
    <row r="651" spans="1:11" x14ac:dyDescent="0.2">
      <c r="A651" s="9" t="s">
        <v>573</v>
      </c>
      <c r="B651" s="9"/>
      <c r="C651" s="9"/>
      <c r="D651" s="9"/>
      <c r="E651" s="9"/>
      <c r="F651" s="9"/>
      <c r="G651" s="453"/>
      <c r="H651" s="453"/>
      <c r="I651" s="9"/>
      <c r="J651" s="9"/>
      <c r="K651" s="295"/>
    </row>
    <row r="652" spans="1:11" x14ac:dyDescent="0.2">
      <c r="A652" s="9" t="s">
        <v>574</v>
      </c>
      <c r="B652" s="9"/>
      <c r="C652" s="9"/>
      <c r="D652" s="9"/>
      <c r="E652" s="9"/>
      <c r="F652" s="9"/>
      <c r="G652" s="453"/>
      <c r="H652" s="453"/>
      <c r="I652" s="9"/>
      <c r="J652" s="9"/>
      <c r="K652" s="295"/>
    </row>
    <row r="653" spans="1:11" x14ac:dyDescent="0.2">
      <c r="A653" s="9" t="s">
        <v>440</v>
      </c>
      <c r="B653" s="437"/>
      <c r="C653" s="437"/>
      <c r="D653" s="437"/>
      <c r="E653" s="437"/>
      <c r="F653" s="9"/>
      <c r="G653" s="453"/>
      <c r="H653" s="453"/>
      <c r="I653" s="9"/>
      <c r="J653" s="9"/>
      <c r="K653" s="295"/>
    </row>
    <row r="654" spans="1:11" x14ac:dyDescent="0.2">
      <c r="A654" s="9"/>
      <c r="B654" s="9"/>
      <c r="C654" s="9"/>
      <c r="D654" s="9"/>
      <c r="E654" s="9"/>
      <c r="F654" s="9"/>
      <c r="G654" s="9"/>
      <c r="H654" s="9" t="s">
        <v>570</v>
      </c>
      <c r="I654" s="533">
        <f>SUM(G650:H653)</f>
        <v>0</v>
      </c>
      <c r="J654" s="533"/>
      <c r="K654" s="295"/>
    </row>
    <row r="655" spans="1:11" x14ac:dyDescent="0.2">
      <c r="A655" s="36" t="s">
        <v>240</v>
      </c>
      <c r="B655" s="9"/>
      <c r="C655" s="9"/>
      <c r="D655" s="9"/>
      <c r="E655" s="9"/>
      <c r="F655" s="9"/>
      <c r="G655" s="9"/>
      <c r="H655" s="9"/>
      <c r="I655" s="9"/>
      <c r="J655" s="9"/>
      <c r="K655" s="295"/>
    </row>
    <row r="656" spans="1:11" x14ac:dyDescent="0.2">
      <c r="A656" s="9" t="s">
        <v>537</v>
      </c>
      <c r="B656" s="9"/>
      <c r="C656" s="9"/>
      <c r="D656" s="9"/>
      <c r="E656" s="9"/>
      <c r="F656" s="9"/>
      <c r="G656" s="453"/>
      <c r="H656" s="453"/>
      <c r="I656" s="9"/>
      <c r="J656" s="9"/>
      <c r="K656" s="295"/>
    </row>
    <row r="657" spans="1:11" x14ac:dyDescent="0.2">
      <c r="A657" s="9" t="s">
        <v>538</v>
      </c>
      <c r="B657" s="9"/>
      <c r="C657" s="9"/>
      <c r="D657" s="9"/>
      <c r="E657" s="9"/>
      <c r="F657" s="9"/>
      <c r="G657" s="453"/>
      <c r="H657" s="453"/>
      <c r="I657" s="9"/>
      <c r="J657" s="9"/>
      <c r="K657" s="295"/>
    </row>
    <row r="658" spans="1:11" x14ac:dyDescent="0.2">
      <c r="A658" s="9" t="s">
        <v>575</v>
      </c>
      <c r="B658" s="9"/>
      <c r="C658" s="9"/>
      <c r="D658" s="9"/>
      <c r="E658" s="9"/>
      <c r="F658" s="9"/>
      <c r="G658" s="486"/>
      <c r="H658" s="486"/>
      <c r="I658" s="9"/>
      <c r="J658" s="9"/>
      <c r="K658" s="295"/>
    </row>
    <row r="659" spans="1:11" x14ac:dyDescent="0.2">
      <c r="A659" s="9" t="s">
        <v>576</v>
      </c>
      <c r="B659" s="9"/>
      <c r="C659" s="9"/>
      <c r="D659" s="9"/>
      <c r="E659" s="9"/>
      <c r="F659" s="9"/>
      <c r="G659" s="486"/>
      <c r="H659" s="486"/>
      <c r="I659" s="9"/>
      <c r="J659" s="9"/>
      <c r="K659" s="295"/>
    </row>
    <row r="660" spans="1:11" x14ac:dyDescent="0.2">
      <c r="A660" s="9" t="s">
        <v>577</v>
      </c>
      <c r="B660" s="9"/>
      <c r="C660" s="9"/>
      <c r="D660" s="9"/>
      <c r="E660" s="9"/>
      <c r="F660" s="9"/>
      <c r="G660" s="453"/>
      <c r="H660" s="453"/>
      <c r="I660" s="9"/>
      <c r="J660" s="9"/>
      <c r="K660" s="295"/>
    </row>
    <row r="661" spans="1:11" x14ac:dyDescent="0.2">
      <c r="A661" s="9" t="s">
        <v>539</v>
      </c>
      <c r="B661" s="9"/>
      <c r="C661" s="9"/>
      <c r="D661" s="9"/>
      <c r="E661" s="9"/>
      <c r="F661" s="9"/>
      <c r="G661" s="453"/>
      <c r="H661" s="453"/>
      <c r="I661" s="9"/>
      <c r="J661" s="9"/>
      <c r="K661" s="295"/>
    </row>
    <row r="662" spans="1:11" x14ac:dyDescent="0.2">
      <c r="A662" s="9" t="s">
        <v>551</v>
      </c>
      <c r="B662" s="437"/>
      <c r="C662" s="437"/>
      <c r="D662" s="437"/>
      <c r="E662" s="437"/>
      <c r="F662" s="9"/>
      <c r="G662" s="453"/>
      <c r="H662" s="453"/>
      <c r="I662" s="9"/>
      <c r="J662" s="9"/>
      <c r="K662" s="295"/>
    </row>
    <row r="663" spans="1:11" x14ac:dyDescent="0.2">
      <c r="A663" s="9" t="s">
        <v>551</v>
      </c>
      <c r="B663" s="452"/>
      <c r="C663" s="452"/>
      <c r="D663" s="452"/>
      <c r="E663" s="452"/>
      <c r="F663" s="9"/>
      <c r="G663" s="453"/>
      <c r="H663" s="453"/>
      <c r="I663" s="9"/>
      <c r="J663" s="9"/>
      <c r="K663" s="295"/>
    </row>
    <row r="664" spans="1:11" x14ac:dyDescent="0.2">
      <c r="A664" s="9"/>
      <c r="B664" s="9"/>
      <c r="C664" s="9"/>
      <c r="D664" s="9"/>
      <c r="E664" s="9"/>
      <c r="F664" s="9"/>
      <c r="G664" s="1"/>
      <c r="H664" s="9" t="s">
        <v>570</v>
      </c>
      <c r="I664" s="533">
        <f>SUM(G656:H663)</f>
        <v>0</v>
      </c>
      <c r="J664" s="533"/>
      <c r="K664" s="295"/>
    </row>
    <row r="665" spans="1:11" x14ac:dyDescent="0.2">
      <c r="A665" s="36" t="s">
        <v>241</v>
      </c>
      <c r="B665" s="9"/>
      <c r="C665" s="9"/>
      <c r="D665" s="9"/>
      <c r="E665" s="9"/>
      <c r="F665" s="9"/>
      <c r="G665" s="9"/>
      <c r="H665" s="9"/>
      <c r="I665" s="9"/>
      <c r="J665" s="9"/>
      <c r="K665" s="295"/>
    </row>
    <row r="666" spans="1:11" x14ac:dyDescent="0.2">
      <c r="A666" s="9" t="s">
        <v>578</v>
      </c>
      <c r="B666" s="9"/>
      <c r="C666" s="9"/>
      <c r="D666" s="9"/>
      <c r="E666" s="9"/>
      <c r="F666" s="9"/>
      <c r="G666" s="453"/>
      <c r="H666" s="453"/>
      <c r="I666" s="9"/>
      <c r="J666" s="9"/>
      <c r="K666" s="295"/>
    </row>
    <row r="667" spans="1:11" x14ac:dyDescent="0.2">
      <c r="A667" s="9" t="s">
        <v>579</v>
      </c>
      <c r="B667" s="9"/>
      <c r="C667" s="9"/>
      <c r="D667" s="9"/>
      <c r="E667" s="9"/>
      <c r="F667" s="9"/>
      <c r="G667" s="453"/>
      <c r="H667" s="453"/>
      <c r="I667" s="9"/>
      <c r="J667" s="9"/>
      <c r="K667" s="295"/>
    </row>
    <row r="668" spans="1:11" x14ac:dyDescent="0.2">
      <c r="A668" s="9" t="s">
        <v>580</v>
      </c>
      <c r="B668" s="9"/>
      <c r="C668" s="9"/>
      <c r="D668" s="9"/>
      <c r="E668" s="9"/>
      <c r="F668" s="9"/>
      <c r="G668" s="453"/>
      <c r="H668" s="453"/>
      <c r="I668" s="9"/>
      <c r="J668" s="9"/>
      <c r="K668" s="295"/>
    </row>
    <row r="669" spans="1:11" x14ac:dyDescent="0.2">
      <c r="A669" s="9" t="s">
        <v>581</v>
      </c>
      <c r="B669" s="9"/>
      <c r="C669" s="9"/>
      <c r="D669" s="9"/>
      <c r="E669" s="9"/>
      <c r="F669" s="9"/>
      <c r="G669" s="453"/>
      <c r="H669" s="453"/>
      <c r="I669" s="9"/>
      <c r="J669" s="9"/>
      <c r="K669" s="295"/>
    </row>
    <row r="670" spans="1:11" x14ac:dyDescent="0.2">
      <c r="A670" s="9" t="s">
        <v>582</v>
      </c>
      <c r="B670" s="9"/>
      <c r="C670" s="9"/>
      <c r="D670" s="9"/>
      <c r="E670" s="9"/>
      <c r="F670" s="9"/>
      <c r="G670" s="453"/>
      <c r="H670" s="453"/>
      <c r="I670" s="9"/>
      <c r="J670" s="9"/>
      <c r="K670" s="295"/>
    </row>
    <row r="671" spans="1:11" x14ac:dyDescent="0.2">
      <c r="A671" s="9" t="s">
        <v>583</v>
      </c>
      <c r="B671" s="9"/>
      <c r="C671" s="9"/>
      <c r="D671" s="9"/>
      <c r="E671" s="9"/>
      <c r="F671" s="9"/>
      <c r="G671" s="453"/>
      <c r="H671" s="453"/>
      <c r="I671" s="9"/>
      <c r="J671" s="9"/>
      <c r="K671" s="295"/>
    </row>
    <row r="672" spans="1:11" x14ac:dyDescent="0.2">
      <c r="A672" s="9" t="s">
        <v>584</v>
      </c>
      <c r="B672" s="9"/>
      <c r="C672" s="9"/>
      <c r="D672" s="9"/>
      <c r="E672" s="9"/>
      <c r="F672" s="9"/>
      <c r="G672" s="453"/>
      <c r="H672" s="453"/>
      <c r="I672" s="9"/>
      <c r="J672" s="9"/>
      <c r="K672" s="295"/>
    </row>
    <row r="673" spans="1:11" x14ac:dyDescent="0.2">
      <c r="A673" s="9" t="s">
        <v>585</v>
      </c>
      <c r="B673" s="9"/>
      <c r="C673" s="9"/>
      <c r="D673" s="9"/>
      <c r="E673" s="9"/>
      <c r="F673" s="9"/>
      <c r="G673" s="453"/>
      <c r="H673" s="453"/>
      <c r="I673" s="9"/>
      <c r="J673" s="9"/>
      <c r="K673" s="295"/>
    </row>
    <row r="674" spans="1:11" x14ac:dyDescent="0.2">
      <c r="A674" s="9" t="s">
        <v>551</v>
      </c>
      <c r="B674" s="437"/>
      <c r="C674" s="437"/>
      <c r="D674" s="437"/>
      <c r="E674" s="437"/>
      <c r="F674" s="9"/>
      <c r="G674" s="453"/>
      <c r="H674" s="453"/>
      <c r="I674" s="9"/>
      <c r="J674" s="9"/>
      <c r="K674" s="295"/>
    </row>
    <row r="675" spans="1:11" x14ac:dyDescent="0.2">
      <c r="A675" s="9"/>
      <c r="B675" s="9"/>
      <c r="C675" s="9"/>
      <c r="D675" s="9"/>
      <c r="E675" s="9"/>
      <c r="F675" s="9"/>
      <c r="G675" s="1"/>
      <c r="H675" s="9" t="s">
        <v>570</v>
      </c>
      <c r="I675" s="533">
        <f>SUM(G666:H674)</f>
        <v>0</v>
      </c>
      <c r="J675" s="533"/>
      <c r="K675" s="295"/>
    </row>
    <row r="676" spans="1:11" x14ac:dyDescent="0.2">
      <c r="A676" s="36" t="s">
        <v>242</v>
      </c>
      <c r="B676" s="9"/>
      <c r="C676" s="9"/>
      <c r="D676" s="9"/>
      <c r="E676" s="9"/>
      <c r="F676" s="9"/>
      <c r="G676" s="1"/>
      <c r="H676" s="1"/>
      <c r="I676" s="9"/>
      <c r="J676" s="9"/>
      <c r="K676" s="295"/>
    </row>
    <row r="677" spans="1:11" x14ac:dyDescent="0.2">
      <c r="A677" s="9" t="s">
        <v>586</v>
      </c>
      <c r="B677" s="9"/>
      <c r="C677" s="9"/>
      <c r="D677" s="9"/>
      <c r="E677" s="9"/>
      <c r="F677" s="9"/>
      <c r="G677" s="453"/>
      <c r="H677" s="453"/>
      <c r="I677" s="9"/>
      <c r="J677" s="9"/>
      <c r="K677" s="295"/>
    </row>
    <row r="678" spans="1:11" x14ac:dyDescent="0.2">
      <c r="A678" s="9" t="s">
        <v>587</v>
      </c>
      <c r="B678" s="9"/>
      <c r="C678" s="9"/>
      <c r="D678" s="9"/>
      <c r="E678" s="9"/>
      <c r="F678" s="9"/>
      <c r="G678" s="453"/>
      <c r="H678" s="453"/>
      <c r="I678" s="9"/>
      <c r="J678" s="9"/>
      <c r="K678" s="295"/>
    </row>
    <row r="679" spans="1:11" x14ac:dyDescent="0.2">
      <c r="A679" s="9" t="s">
        <v>921</v>
      </c>
      <c r="B679" s="9"/>
      <c r="C679" s="9"/>
      <c r="D679" s="9"/>
      <c r="E679" s="9"/>
      <c r="F679" s="9"/>
      <c r="G679" s="453"/>
      <c r="H679" s="453"/>
      <c r="I679" s="50"/>
      <c r="J679" s="50"/>
      <c r="K679" s="295"/>
    </row>
    <row r="680" spans="1:11" x14ac:dyDescent="0.2">
      <c r="A680" s="9" t="s">
        <v>603</v>
      </c>
      <c r="B680" s="9"/>
      <c r="C680" s="9"/>
      <c r="D680" s="9"/>
      <c r="E680" s="9"/>
      <c r="F680" s="9"/>
      <c r="G680" s="453"/>
      <c r="H680" s="453"/>
      <c r="I680" s="9"/>
      <c r="J680" s="9"/>
      <c r="K680" s="295"/>
    </row>
    <row r="681" spans="1:11" x14ac:dyDescent="0.2">
      <c r="A681" s="9" t="s">
        <v>604</v>
      </c>
      <c r="B681" s="9"/>
      <c r="C681" s="9"/>
      <c r="D681" s="9"/>
      <c r="E681" s="9"/>
      <c r="F681" s="9"/>
      <c r="G681" s="453"/>
      <c r="H681" s="453"/>
      <c r="I681" s="9"/>
      <c r="J681" s="9"/>
      <c r="K681" s="295"/>
    </row>
    <row r="682" spans="1:11" x14ac:dyDescent="0.2">
      <c r="A682" s="9" t="s">
        <v>440</v>
      </c>
      <c r="B682" s="437"/>
      <c r="C682" s="437"/>
      <c r="D682" s="437"/>
      <c r="E682" s="437"/>
      <c r="F682" s="9"/>
      <c r="G682" s="453"/>
      <c r="H682" s="453"/>
      <c r="I682" s="9"/>
      <c r="J682" s="9"/>
      <c r="K682" s="295"/>
    </row>
    <row r="683" spans="1:11" x14ac:dyDescent="0.2">
      <c r="A683" s="9"/>
      <c r="B683" s="9"/>
      <c r="C683" s="9"/>
      <c r="D683" s="9"/>
      <c r="E683" s="9"/>
      <c r="F683" s="9"/>
      <c r="G683" s="1"/>
      <c r="H683" s="9" t="s">
        <v>570</v>
      </c>
      <c r="I683" s="533">
        <f>SUM(G677:H682)</f>
        <v>0</v>
      </c>
      <c r="J683" s="533"/>
      <c r="K683" s="295"/>
    </row>
    <row r="684" spans="1:11" x14ac:dyDescent="0.2">
      <c r="A684" s="36" t="s">
        <v>243</v>
      </c>
      <c r="B684" s="9"/>
      <c r="C684" s="9"/>
      <c r="D684" s="9"/>
      <c r="E684" s="9"/>
      <c r="F684" s="9"/>
      <c r="G684" s="9"/>
      <c r="H684" s="9"/>
      <c r="I684" s="9"/>
      <c r="J684" s="9"/>
      <c r="K684" s="295"/>
    </row>
    <row r="685" spans="1:11" x14ac:dyDescent="0.2">
      <c r="A685" s="9" t="s">
        <v>605</v>
      </c>
      <c r="B685" s="9"/>
      <c r="C685" s="9"/>
      <c r="D685" s="9"/>
      <c r="E685" s="9"/>
      <c r="F685" s="9"/>
      <c r="G685" s="453"/>
      <c r="H685" s="453"/>
      <c r="I685" s="9"/>
      <c r="J685" s="9"/>
      <c r="K685" s="295"/>
    </row>
    <row r="686" spans="1:11" x14ac:dyDescent="0.2">
      <c r="A686" s="9" t="s">
        <v>606</v>
      </c>
      <c r="B686" s="9"/>
      <c r="C686" s="9"/>
      <c r="D686" s="9"/>
      <c r="E686" s="9"/>
      <c r="F686" s="9"/>
      <c r="G686" s="453"/>
      <c r="H686" s="453"/>
      <c r="I686" s="9"/>
      <c r="J686" s="9"/>
      <c r="K686" s="295"/>
    </row>
    <row r="687" spans="1:11" x14ac:dyDescent="0.2">
      <c r="A687" s="9" t="s">
        <v>609</v>
      </c>
      <c r="B687" s="9"/>
      <c r="C687" s="9"/>
      <c r="D687" s="9"/>
      <c r="E687" s="9"/>
      <c r="F687" s="9"/>
      <c r="G687" s="453"/>
      <c r="H687" s="453"/>
      <c r="I687" s="9"/>
      <c r="J687" s="9"/>
      <c r="K687" s="295"/>
    </row>
    <row r="688" spans="1:11" x14ac:dyDescent="0.2">
      <c r="A688" s="9" t="s">
        <v>608</v>
      </c>
      <c r="B688" s="9"/>
      <c r="C688" s="9"/>
      <c r="D688" s="9"/>
      <c r="E688" s="9"/>
      <c r="F688" s="9"/>
      <c r="G688" s="453"/>
      <c r="H688" s="453"/>
      <c r="I688" s="9"/>
      <c r="J688" s="9"/>
      <c r="K688" s="295"/>
    </row>
    <row r="689" spans="1:11" x14ac:dyDescent="0.2">
      <c r="A689" s="9" t="s">
        <v>610</v>
      </c>
      <c r="B689" s="9"/>
      <c r="C689" s="9"/>
      <c r="D689" s="9"/>
      <c r="E689" s="9"/>
      <c r="F689" s="9"/>
      <c r="G689" s="453"/>
      <c r="H689" s="453"/>
      <c r="I689" s="9"/>
      <c r="J689" s="9"/>
      <c r="K689" s="295"/>
    </row>
    <row r="690" spans="1:11" x14ac:dyDescent="0.2">
      <c r="A690" s="9" t="s">
        <v>551</v>
      </c>
      <c r="B690" s="437"/>
      <c r="C690" s="437"/>
      <c r="D690" s="437"/>
      <c r="E690" s="437"/>
      <c r="F690" s="9"/>
      <c r="G690" s="453"/>
      <c r="H690" s="453"/>
      <c r="I690" s="9"/>
      <c r="J690" s="9"/>
      <c r="K690" s="295"/>
    </row>
    <row r="691" spans="1:11" x14ac:dyDescent="0.2">
      <c r="A691" s="9"/>
      <c r="B691" s="9"/>
      <c r="C691" s="9"/>
      <c r="D691" s="9"/>
      <c r="E691" s="9"/>
      <c r="F691" s="9"/>
      <c r="G691" s="1"/>
      <c r="H691" s="9" t="s">
        <v>570</v>
      </c>
      <c r="I691" s="533">
        <f>SUM(G684:H690)</f>
        <v>0</v>
      </c>
      <c r="J691" s="533"/>
      <c r="K691" s="295"/>
    </row>
    <row r="692" spans="1:11" x14ac:dyDescent="0.2">
      <c r="A692" s="441" t="s">
        <v>1060</v>
      </c>
      <c r="B692" s="441"/>
      <c r="C692" s="441"/>
      <c r="D692" s="441"/>
      <c r="E692" s="441"/>
      <c r="F692" s="441"/>
      <c r="G692" s="441"/>
      <c r="H692" s="441"/>
      <c r="I692" s="441"/>
      <c r="J692" s="441"/>
      <c r="K692" s="295"/>
    </row>
    <row r="693" spans="1:11" x14ac:dyDescent="0.2">
      <c r="A693" s="441" t="s">
        <v>1061</v>
      </c>
      <c r="B693" s="441"/>
      <c r="C693" s="441"/>
      <c r="D693" s="441"/>
      <c r="E693" s="441"/>
      <c r="F693" s="441"/>
      <c r="G693" s="441"/>
      <c r="H693" s="441"/>
      <c r="I693" s="441"/>
      <c r="J693" s="441"/>
      <c r="K693" s="295"/>
    </row>
    <row r="694" spans="1:11" x14ac:dyDescent="0.2">
      <c r="A694" s="441" t="s">
        <v>88</v>
      </c>
      <c r="B694" s="441"/>
      <c r="C694" s="441"/>
      <c r="D694" s="441"/>
      <c r="E694" s="441"/>
      <c r="F694" s="441"/>
      <c r="G694" s="441"/>
      <c r="H694" s="441"/>
      <c r="I694" s="441"/>
      <c r="J694" s="441"/>
      <c r="K694" s="295"/>
    </row>
    <row r="695" spans="1:11" x14ac:dyDescent="0.2">
      <c r="A695" s="26"/>
      <c r="B695" s="9"/>
      <c r="C695" s="9"/>
      <c r="D695" s="446" t="str">
        <f>IF($B$229="","",$B$229)</f>
        <v/>
      </c>
      <c r="E695" s="446"/>
      <c r="F695" s="446"/>
      <c r="G695" s="446"/>
      <c r="H695" s="9"/>
      <c r="I695" s="27"/>
      <c r="J695" s="9"/>
      <c r="K695" s="295"/>
    </row>
    <row r="696" spans="1:11" x14ac:dyDescent="0.2">
      <c r="A696" s="9"/>
      <c r="B696" s="9"/>
      <c r="C696" s="9"/>
      <c r="D696" s="443" t="s">
        <v>1143</v>
      </c>
      <c r="E696" s="443"/>
      <c r="F696" s="443"/>
      <c r="G696" s="443"/>
      <c r="H696" s="9"/>
      <c r="I696" s="9"/>
      <c r="J696" s="9"/>
      <c r="K696" s="295"/>
    </row>
    <row r="697" spans="1:11" x14ac:dyDescent="0.2">
      <c r="A697" s="443" t="s">
        <v>1036</v>
      </c>
      <c r="B697" s="443"/>
      <c r="C697" s="443"/>
      <c r="D697" s="443"/>
      <c r="E697" s="443"/>
      <c r="F697" s="443"/>
      <c r="G697" s="443"/>
      <c r="H697" s="443"/>
      <c r="I697" s="443"/>
      <c r="J697" s="443"/>
      <c r="K697" s="295"/>
    </row>
    <row r="698" spans="1:11" x14ac:dyDescent="0.2">
      <c r="A698" s="9"/>
      <c r="B698" s="9"/>
      <c r="C698" s="9"/>
      <c r="D698" s="9"/>
      <c r="E698" s="9"/>
      <c r="F698" s="9"/>
      <c r="G698" s="9"/>
      <c r="H698" s="9"/>
      <c r="I698" s="9"/>
      <c r="J698" s="9"/>
      <c r="K698" s="295"/>
    </row>
    <row r="699" spans="1:11" x14ac:dyDescent="0.2">
      <c r="A699" s="33" t="s">
        <v>572</v>
      </c>
      <c r="B699" s="9"/>
      <c r="C699" s="9"/>
      <c r="D699" s="9"/>
      <c r="E699" s="9"/>
      <c r="F699" s="9"/>
      <c r="G699" s="476" t="s">
        <v>571</v>
      </c>
      <c r="H699" s="476"/>
      <c r="I699" s="476"/>
      <c r="J699" s="476"/>
      <c r="K699" s="295"/>
    </row>
    <row r="700" spans="1:11" x14ac:dyDescent="0.2">
      <c r="A700" s="36" t="s">
        <v>244</v>
      </c>
      <c r="B700" s="9"/>
      <c r="C700" s="9"/>
      <c r="D700" s="9"/>
      <c r="E700" s="9"/>
      <c r="F700" s="9"/>
      <c r="G700" s="9"/>
      <c r="H700" s="9"/>
      <c r="I700" s="9"/>
      <c r="J700" s="9"/>
      <c r="K700" s="295"/>
    </row>
    <row r="701" spans="1:11" x14ac:dyDescent="0.2">
      <c r="A701" s="9" t="s">
        <v>611</v>
      </c>
      <c r="B701" s="9"/>
      <c r="C701" s="9"/>
      <c r="D701" s="9"/>
      <c r="E701" s="9"/>
      <c r="F701" s="9"/>
      <c r="G701" s="453"/>
      <c r="H701" s="453"/>
      <c r="I701" s="9"/>
      <c r="J701" s="9"/>
      <c r="K701" s="295"/>
    </row>
    <row r="702" spans="1:11" x14ac:dyDescent="0.2">
      <c r="A702" s="9" t="s">
        <v>991</v>
      </c>
      <c r="B702" s="9"/>
      <c r="C702" s="9"/>
      <c r="D702" s="9"/>
      <c r="E702" s="9"/>
      <c r="F702" s="9"/>
      <c r="G702" s="453"/>
      <c r="H702" s="453"/>
      <c r="I702" s="9"/>
      <c r="J702" s="9"/>
      <c r="K702" s="295"/>
    </row>
    <row r="703" spans="1:11" x14ac:dyDescent="0.2">
      <c r="A703" s="9" t="s">
        <v>990</v>
      </c>
      <c r="B703" s="9"/>
      <c r="C703" s="9"/>
      <c r="D703" s="9"/>
      <c r="E703" s="9"/>
      <c r="F703" s="9"/>
      <c r="G703" s="453"/>
      <c r="H703" s="453"/>
      <c r="I703" s="9"/>
      <c r="J703" s="9"/>
      <c r="K703" s="295"/>
    </row>
    <row r="704" spans="1:11" x14ac:dyDescent="0.2">
      <c r="A704" s="9" t="s">
        <v>612</v>
      </c>
      <c r="B704" s="9"/>
      <c r="C704" s="9"/>
      <c r="D704" s="9"/>
      <c r="E704" s="9"/>
      <c r="F704" s="9"/>
      <c r="G704" s="453"/>
      <c r="H704" s="453"/>
      <c r="I704" s="9"/>
      <c r="J704" s="9"/>
      <c r="K704" s="295"/>
    </row>
    <row r="705" spans="1:11" x14ac:dyDescent="0.2">
      <c r="A705" s="9" t="s">
        <v>440</v>
      </c>
      <c r="B705" s="437"/>
      <c r="C705" s="437"/>
      <c r="D705" s="437"/>
      <c r="E705" s="437"/>
      <c r="F705" s="9"/>
      <c r="G705" s="453"/>
      <c r="H705" s="453"/>
      <c r="I705" s="50"/>
      <c r="J705" s="50"/>
      <c r="K705" s="295"/>
    </row>
    <row r="706" spans="1:11" x14ac:dyDescent="0.2">
      <c r="A706" s="9" t="s">
        <v>440</v>
      </c>
      <c r="B706" s="452"/>
      <c r="C706" s="452"/>
      <c r="D706" s="452"/>
      <c r="E706" s="452"/>
      <c r="F706" s="9"/>
      <c r="G706" s="453"/>
      <c r="H706" s="453"/>
      <c r="I706" s="9"/>
      <c r="J706" s="9"/>
      <c r="K706" s="295"/>
    </row>
    <row r="707" spans="1:11" x14ac:dyDescent="0.2">
      <c r="A707" s="9"/>
      <c r="B707" s="9"/>
      <c r="C707" s="9"/>
      <c r="D707" s="9"/>
      <c r="E707" s="9"/>
      <c r="F707" s="9"/>
      <c r="G707" s="1"/>
      <c r="H707" s="9" t="s">
        <v>570</v>
      </c>
      <c r="I707" s="533">
        <f>SUM(G701:H706)</f>
        <v>0</v>
      </c>
      <c r="J707" s="533"/>
      <c r="K707" s="295"/>
    </row>
    <row r="708" spans="1:11" x14ac:dyDescent="0.2">
      <c r="A708" s="36" t="s">
        <v>245</v>
      </c>
      <c r="B708" s="9"/>
      <c r="C708" s="9"/>
      <c r="D708" s="9"/>
      <c r="E708" s="9"/>
      <c r="F708" s="9"/>
      <c r="G708" s="9"/>
      <c r="H708" s="9"/>
      <c r="I708" s="9"/>
      <c r="J708" s="9"/>
      <c r="K708" s="295"/>
    </row>
    <row r="709" spans="1:11" x14ac:dyDescent="0.2">
      <c r="A709" s="9" t="s">
        <v>613</v>
      </c>
      <c r="B709" s="9"/>
      <c r="C709" s="9"/>
      <c r="D709" s="9"/>
      <c r="E709" s="9"/>
      <c r="F709" s="9"/>
      <c r="G709" s="453"/>
      <c r="H709" s="453"/>
      <c r="I709" s="9"/>
      <c r="J709" s="9"/>
      <c r="K709" s="295"/>
    </row>
    <row r="710" spans="1:11" x14ac:dyDescent="0.2">
      <c r="A710" s="9" t="s">
        <v>614</v>
      </c>
      <c r="B710" s="9"/>
      <c r="C710" s="9"/>
      <c r="D710" s="9"/>
      <c r="E710" s="9"/>
      <c r="F710" s="9"/>
      <c r="G710" s="453"/>
      <c r="H710" s="453"/>
      <c r="I710" s="9"/>
      <c r="J710" s="9"/>
      <c r="K710" s="295"/>
    </row>
    <row r="711" spans="1:11" x14ac:dyDescent="0.2">
      <c r="A711" s="9" t="s">
        <v>992</v>
      </c>
      <c r="B711" s="9"/>
      <c r="C711" s="9"/>
      <c r="D711" s="9"/>
      <c r="E711" s="9"/>
      <c r="F711" s="9"/>
      <c r="G711" s="453"/>
      <c r="H711" s="453"/>
      <c r="I711" s="9"/>
      <c r="J711" s="9"/>
      <c r="K711" s="295"/>
    </row>
    <row r="712" spans="1:11" x14ac:dyDescent="0.2">
      <c r="A712" s="9" t="s">
        <v>440</v>
      </c>
      <c r="B712" s="437"/>
      <c r="C712" s="437"/>
      <c r="D712" s="437"/>
      <c r="E712" s="437"/>
      <c r="F712" s="9"/>
      <c r="G712" s="453"/>
      <c r="H712" s="453"/>
      <c r="I712" s="9"/>
      <c r="J712" s="9"/>
      <c r="K712" s="295"/>
    </row>
    <row r="713" spans="1:11" x14ac:dyDescent="0.2">
      <c r="A713" s="9"/>
      <c r="B713" s="9"/>
      <c r="C713" s="9"/>
      <c r="D713" s="9"/>
      <c r="E713" s="9"/>
      <c r="F713" s="9"/>
      <c r="G713" s="1"/>
      <c r="H713" s="9" t="s">
        <v>570</v>
      </c>
      <c r="I713" s="533">
        <f>SUM(G709:H712)</f>
        <v>0</v>
      </c>
      <c r="J713" s="533"/>
      <c r="K713" s="295"/>
    </row>
    <row r="714" spans="1:11" x14ac:dyDescent="0.2">
      <c r="A714" s="36" t="s">
        <v>246</v>
      </c>
      <c r="B714" s="9"/>
      <c r="C714" s="9"/>
      <c r="D714" s="9"/>
      <c r="E714" s="9"/>
      <c r="F714" s="9"/>
      <c r="G714" s="9"/>
      <c r="H714" s="9"/>
      <c r="I714" s="9"/>
      <c r="J714" s="9"/>
      <c r="K714" s="295"/>
    </row>
    <row r="715" spans="1:11" x14ac:dyDescent="0.2">
      <c r="A715" s="9" t="s">
        <v>540</v>
      </c>
      <c r="B715" s="9"/>
      <c r="C715" s="9"/>
      <c r="D715" s="9"/>
      <c r="E715" s="9"/>
      <c r="F715" s="9"/>
      <c r="G715" s="453"/>
      <c r="H715" s="453"/>
      <c r="I715" s="9"/>
      <c r="J715" s="9"/>
      <c r="K715" s="295"/>
    </row>
    <row r="716" spans="1:11" x14ac:dyDescent="0.2">
      <c r="A716" s="9" t="s">
        <v>615</v>
      </c>
      <c r="B716" s="9"/>
      <c r="C716" s="9"/>
      <c r="D716" s="9"/>
      <c r="E716" s="9"/>
      <c r="F716" s="9"/>
      <c r="G716" s="453"/>
      <c r="H716" s="453"/>
      <c r="I716" s="9"/>
      <c r="J716" s="9"/>
      <c r="K716" s="295"/>
    </row>
    <row r="717" spans="1:11" x14ac:dyDescent="0.2">
      <c r="A717" s="9" t="s">
        <v>440</v>
      </c>
      <c r="B717" s="437"/>
      <c r="C717" s="437"/>
      <c r="D717" s="437"/>
      <c r="E717" s="437"/>
      <c r="F717" s="9"/>
      <c r="G717" s="453"/>
      <c r="H717" s="453"/>
      <c r="I717" s="9"/>
      <c r="J717" s="9"/>
      <c r="K717" s="295"/>
    </row>
    <row r="718" spans="1:11" x14ac:dyDescent="0.2">
      <c r="A718" s="9" t="s">
        <v>440</v>
      </c>
      <c r="B718" s="452"/>
      <c r="C718" s="452"/>
      <c r="D718" s="452"/>
      <c r="E718" s="452"/>
      <c r="F718" s="9"/>
      <c r="G718" s="453"/>
      <c r="H718" s="453"/>
      <c r="I718" s="9"/>
      <c r="J718" s="9"/>
      <c r="K718" s="295"/>
    </row>
    <row r="719" spans="1:11" x14ac:dyDescent="0.2">
      <c r="A719" s="9"/>
      <c r="B719" s="9"/>
      <c r="C719" s="9"/>
      <c r="D719" s="9"/>
      <c r="E719" s="9"/>
      <c r="F719" s="9"/>
      <c r="G719" s="1"/>
      <c r="H719" s="9" t="s">
        <v>570</v>
      </c>
      <c r="I719" s="533">
        <f>SUM(G715:H718)</f>
        <v>0</v>
      </c>
      <c r="J719" s="533"/>
      <c r="K719" s="295"/>
    </row>
    <row r="720" spans="1:11" x14ac:dyDescent="0.2">
      <c r="A720" s="36" t="s">
        <v>247</v>
      </c>
      <c r="B720" s="9"/>
      <c r="C720" s="9"/>
      <c r="D720" s="9"/>
      <c r="E720" s="9"/>
      <c r="F720" s="9"/>
      <c r="G720" s="9"/>
      <c r="H720" s="9"/>
      <c r="I720" s="9"/>
      <c r="J720" s="9"/>
      <c r="K720" s="295"/>
    </row>
    <row r="721" spans="1:11" x14ac:dyDescent="0.2">
      <c r="A721" s="9" t="s">
        <v>616</v>
      </c>
      <c r="B721" s="9"/>
      <c r="C721" s="9"/>
      <c r="D721" s="9"/>
      <c r="E721" s="9"/>
      <c r="F721" s="9"/>
      <c r="G721" s="453"/>
      <c r="H721" s="453"/>
      <c r="I721" s="9"/>
      <c r="J721" s="9"/>
      <c r="K721" s="295"/>
    </row>
    <row r="722" spans="1:11" x14ac:dyDescent="0.2">
      <c r="A722" s="9" t="s">
        <v>440</v>
      </c>
      <c r="B722" s="437"/>
      <c r="C722" s="437"/>
      <c r="D722" s="437"/>
      <c r="E722" s="437"/>
      <c r="F722" s="9"/>
      <c r="G722" s="453"/>
      <c r="H722" s="453"/>
      <c r="I722" s="9"/>
      <c r="J722" s="9"/>
      <c r="K722" s="295"/>
    </row>
    <row r="723" spans="1:11" x14ac:dyDescent="0.2">
      <c r="A723" s="9"/>
      <c r="B723" s="9"/>
      <c r="C723" s="9"/>
      <c r="D723" s="9"/>
      <c r="E723" s="9"/>
      <c r="F723" s="9"/>
      <c r="G723" s="1"/>
      <c r="H723" s="9" t="s">
        <v>570</v>
      </c>
      <c r="I723" s="533">
        <f>SUM(G721:H723)</f>
        <v>0</v>
      </c>
      <c r="J723" s="533"/>
      <c r="K723" s="295"/>
    </row>
    <row r="724" spans="1:11" x14ac:dyDescent="0.2">
      <c r="A724" s="36" t="s">
        <v>248</v>
      </c>
      <c r="B724" s="9"/>
      <c r="C724" s="9"/>
      <c r="D724" s="9"/>
      <c r="E724" s="9"/>
      <c r="F724" s="9"/>
      <c r="G724" s="9"/>
      <c r="H724" s="9"/>
      <c r="I724" s="9"/>
      <c r="J724" s="9"/>
      <c r="K724" s="295"/>
    </row>
    <row r="725" spans="1:11" x14ac:dyDescent="0.2">
      <c r="A725" s="9" t="s">
        <v>617</v>
      </c>
      <c r="B725" s="9"/>
      <c r="C725" s="9"/>
      <c r="D725" s="9"/>
      <c r="E725" s="9"/>
      <c r="F725" s="9"/>
      <c r="G725" s="453"/>
      <c r="H725" s="453"/>
      <c r="I725" s="9"/>
      <c r="J725" s="9"/>
      <c r="K725" s="295"/>
    </row>
    <row r="726" spans="1:11" x14ac:dyDescent="0.2">
      <c r="A726" s="9" t="s">
        <v>618</v>
      </c>
      <c r="B726" s="9"/>
      <c r="C726" s="9"/>
      <c r="D726" s="9"/>
      <c r="E726" s="9"/>
      <c r="F726" s="9"/>
      <c r="G726" s="453"/>
      <c r="H726" s="453"/>
      <c r="I726" s="9"/>
      <c r="J726" s="9"/>
      <c r="K726" s="295"/>
    </row>
    <row r="727" spans="1:11" x14ac:dyDescent="0.2">
      <c r="A727" s="9" t="s">
        <v>541</v>
      </c>
      <c r="B727" s="9"/>
      <c r="C727" s="9"/>
      <c r="D727" s="9"/>
      <c r="E727" s="9"/>
      <c r="F727" s="9"/>
      <c r="G727" s="453"/>
      <c r="H727" s="453"/>
      <c r="I727" s="9"/>
      <c r="J727" s="9"/>
      <c r="K727" s="295"/>
    </row>
    <row r="728" spans="1:11" x14ac:dyDescent="0.2">
      <c r="A728" s="9" t="s">
        <v>620</v>
      </c>
      <c r="B728" s="9"/>
      <c r="C728" s="9"/>
      <c r="D728" s="9"/>
      <c r="E728" s="9"/>
      <c r="F728" s="9"/>
      <c r="G728" s="453"/>
      <c r="H728" s="453"/>
      <c r="I728" s="9"/>
      <c r="J728" s="9"/>
      <c r="K728" s="295"/>
    </row>
    <row r="729" spans="1:11" x14ac:dyDescent="0.2">
      <c r="A729" s="9" t="s">
        <v>621</v>
      </c>
      <c r="B729" s="9"/>
      <c r="C729" s="9"/>
      <c r="D729" s="9"/>
      <c r="E729" s="9"/>
      <c r="F729" s="9"/>
      <c r="G729" s="453"/>
      <c r="H729" s="453"/>
      <c r="I729" s="9"/>
      <c r="J729" s="9"/>
      <c r="K729" s="295"/>
    </row>
    <row r="730" spans="1:11" x14ac:dyDescent="0.2">
      <c r="A730" s="9" t="s">
        <v>440</v>
      </c>
      <c r="B730" s="437"/>
      <c r="C730" s="437"/>
      <c r="D730" s="437"/>
      <c r="E730" s="437"/>
      <c r="F730" s="9"/>
      <c r="G730" s="453"/>
      <c r="H730" s="453"/>
      <c r="I730" s="9"/>
      <c r="J730" s="9"/>
      <c r="K730" s="295"/>
    </row>
    <row r="731" spans="1:11" x14ac:dyDescent="0.2">
      <c r="A731" s="9"/>
      <c r="B731" s="9"/>
      <c r="C731" s="9"/>
      <c r="D731" s="9"/>
      <c r="E731" s="9"/>
      <c r="F731" s="9"/>
      <c r="G731" s="1"/>
      <c r="H731" s="9" t="s">
        <v>570</v>
      </c>
      <c r="I731" s="533">
        <f>SUM(G725:H731)</f>
        <v>0</v>
      </c>
      <c r="J731" s="533"/>
      <c r="K731" s="295"/>
    </row>
    <row r="732" spans="1:11" x14ac:dyDescent="0.2">
      <c r="A732" s="36" t="s">
        <v>249</v>
      </c>
      <c r="B732" s="9"/>
      <c r="C732" s="9"/>
      <c r="D732" s="9"/>
      <c r="E732" s="9"/>
      <c r="F732" s="9"/>
      <c r="G732" s="9"/>
      <c r="H732" s="9"/>
      <c r="I732" s="9"/>
      <c r="J732" s="9"/>
      <c r="K732" s="295"/>
    </row>
    <row r="733" spans="1:11" x14ac:dyDescent="0.2">
      <c r="A733" s="9" t="s">
        <v>619</v>
      </c>
      <c r="B733" s="9"/>
      <c r="C733" s="9"/>
      <c r="D733" s="9"/>
      <c r="E733" s="9"/>
      <c r="F733" s="9"/>
      <c r="G733" s="453"/>
      <c r="H733" s="453"/>
      <c r="I733" s="9"/>
      <c r="J733" s="9"/>
      <c r="K733" s="295"/>
    </row>
    <row r="734" spans="1:11" x14ac:dyDescent="0.2">
      <c r="A734" s="9" t="s">
        <v>622</v>
      </c>
      <c r="B734" s="9"/>
      <c r="C734" s="9"/>
      <c r="D734" s="9"/>
      <c r="E734" s="9"/>
      <c r="F734" s="9"/>
      <c r="G734" s="453"/>
      <c r="H734" s="453"/>
      <c r="I734" s="9"/>
      <c r="J734" s="9"/>
      <c r="K734" s="295"/>
    </row>
    <row r="735" spans="1:11" x14ac:dyDescent="0.2">
      <c r="A735" s="9" t="s">
        <v>623</v>
      </c>
      <c r="B735" s="9"/>
      <c r="C735" s="9"/>
      <c r="D735" s="9"/>
      <c r="E735" s="9"/>
      <c r="F735" s="9"/>
      <c r="G735" s="453"/>
      <c r="H735" s="453"/>
      <c r="I735" s="9"/>
      <c r="J735" s="9"/>
      <c r="K735" s="295"/>
    </row>
    <row r="736" spans="1:11" x14ac:dyDescent="0.2">
      <c r="A736" s="9" t="s">
        <v>624</v>
      </c>
      <c r="B736" s="9"/>
      <c r="C736" s="9"/>
      <c r="D736" s="9"/>
      <c r="E736" s="9"/>
      <c r="F736" s="9"/>
      <c r="G736" s="453"/>
      <c r="H736" s="453"/>
      <c r="I736" s="9"/>
      <c r="J736" s="9"/>
      <c r="K736" s="295"/>
    </row>
    <row r="737" spans="1:11" x14ac:dyDescent="0.2">
      <c r="A737" s="9" t="s">
        <v>551</v>
      </c>
      <c r="B737" s="437"/>
      <c r="C737" s="437"/>
      <c r="D737" s="437"/>
      <c r="E737" s="437"/>
      <c r="F737" s="9"/>
      <c r="G737" s="453"/>
      <c r="H737" s="453"/>
      <c r="I737" s="9"/>
      <c r="J737" s="9"/>
      <c r="K737" s="295"/>
    </row>
    <row r="738" spans="1:11" x14ac:dyDescent="0.2">
      <c r="A738" s="9"/>
      <c r="B738" s="9"/>
      <c r="C738" s="9"/>
      <c r="D738" s="9"/>
      <c r="E738" s="9"/>
      <c r="F738" s="9"/>
      <c r="G738" s="1"/>
      <c r="H738" s="9" t="s">
        <v>570</v>
      </c>
      <c r="I738" s="533">
        <f>SUM(G732:H738)</f>
        <v>0</v>
      </c>
      <c r="J738" s="533"/>
      <c r="K738" s="295"/>
    </row>
    <row r="739" spans="1:11" x14ac:dyDescent="0.2">
      <c r="A739" s="36" t="s">
        <v>250</v>
      </c>
      <c r="B739" s="9"/>
      <c r="C739" s="9"/>
      <c r="D739" s="9"/>
      <c r="E739" s="9"/>
      <c r="F739" s="9"/>
      <c r="G739" s="9"/>
      <c r="H739" s="9"/>
      <c r="I739" s="9"/>
      <c r="J739" s="9"/>
      <c r="K739" s="295"/>
    </row>
    <row r="740" spans="1:11" x14ac:dyDescent="0.2">
      <c r="A740" s="9" t="s">
        <v>625</v>
      </c>
      <c r="B740" s="9"/>
      <c r="C740" s="9"/>
      <c r="D740" s="9"/>
      <c r="E740" s="9"/>
      <c r="F740" s="9"/>
      <c r="G740" s="453"/>
      <c r="H740" s="453"/>
      <c r="I740" s="9"/>
      <c r="J740" s="9"/>
      <c r="K740" s="295"/>
    </row>
    <row r="741" spans="1:11" x14ac:dyDescent="0.2">
      <c r="A741" s="9" t="s">
        <v>626</v>
      </c>
      <c r="B741" s="9"/>
      <c r="C741" s="9"/>
      <c r="D741" s="9"/>
      <c r="E741" s="9"/>
      <c r="F741" s="9"/>
      <c r="G741" s="453"/>
      <c r="H741" s="453"/>
      <c r="I741" s="9"/>
      <c r="J741" s="9"/>
      <c r="K741" s="295"/>
    </row>
    <row r="742" spans="1:11" x14ac:dyDescent="0.2">
      <c r="A742" s="9" t="s">
        <v>627</v>
      </c>
      <c r="B742" s="9"/>
      <c r="C742" s="9"/>
      <c r="D742" s="9"/>
      <c r="E742" s="9"/>
      <c r="F742" s="9"/>
      <c r="G742" s="453"/>
      <c r="H742" s="453"/>
      <c r="I742" s="9"/>
      <c r="J742" s="9"/>
      <c r="K742" s="295"/>
    </row>
    <row r="743" spans="1:11" x14ac:dyDescent="0.2">
      <c r="A743" s="9"/>
      <c r="B743" s="9"/>
      <c r="C743" s="9"/>
      <c r="D743" s="9"/>
      <c r="E743" s="9"/>
      <c r="F743" s="9"/>
      <c r="G743" s="1"/>
      <c r="H743" s="9" t="s">
        <v>570</v>
      </c>
      <c r="I743" s="533">
        <f>SUM(G740:H742)</f>
        <v>0</v>
      </c>
      <c r="J743" s="533"/>
      <c r="K743" s="295"/>
    </row>
    <row r="744" spans="1:11" x14ac:dyDescent="0.2">
      <c r="A744" s="441" t="s">
        <v>1060</v>
      </c>
      <c r="B744" s="441"/>
      <c r="C744" s="441"/>
      <c r="D744" s="441"/>
      <c r="E744" s="441"/>
      <c r="F744" s="441"/>
      <c r="G744" s="441"/>
      <c r="H744" s="441"/>
      <c r="I744" s="441"/>
      <c r="J744" s="441"/>
      <c r="K744" s="295"/>
    </row>
    <row r="745" spans="1:11" x14ac:dyDescent="0.2">
      <c r="A745" s="441" t="s">
        <v>1061</v>
      </c>
      <c r="B745" s="441"/>
      <c r="C745" s="441"/>
      <c r="D745" s="441"/>
      <c r="E745" s="441"/>
      <c r="F745" s="441"/>
      <c r="G745" s="441"/>
      <c r="H745" s="441"/>
      <c r="I745" s="441"/>
      <c r="J745" s="441"/>
      <c r="K745" s="295"/>
    </row>
    <row r="746" spans="1:11" x14ac:dyDescent="0.2">
      <c r="A746" s="441" t="s">
        <v>88</v>
      </c>
      <c r="B746" s="441"/>
      <c r="C746" s="441"/>
      <c r="D746" s="441"/>
      <c r="E746" s="441"/>
      <c r="F746" s="441"/>
      <c r="G746" s="441"/>
      <c r="H746" s="441"/>
      <c r="I746" s="441"/>
      <c r="J746" s="441"/>
      <c r="K746" s="295"/>
    </row>
    <row r="747" spans="1:11" x14ac:dyDescent="0.2">
      <c r="A747" s="26"/>
      <c r="B747" s="9"/>
      <c r="C747" s="9"/>
      <c r="D747" s="446" t="str">
        <f>IF($B$229="","",$B$229)</f>
        <v/>
      </c>
      <c r="E747" s="446"/>
      <c r="F747" s="446"/>
      <c r="G747" s="446"/>
      <c r="H747" s="9"/>
      <c r="I747" s="27"/>
      <c r="J747" s="9"/>
      <c r="K747" s="295"/>
    </row>
    <row r="748" spans="1:11" x14ac:dyDescent="0.2">
      <c r="A748" s="9"/>
      <c r="B748" s="9"/>
      <c r="C748" s="9"/>
      <c r="D748" s="443" t="s">
        <v>1143</v>
      </c>
      <c r="E748" s="443"/>
      <c r="F748" s="443"/>
      <c r="G748" s="443"/>
      <c r="H748" s="9"/>
      <c r="I748" s="9"/>
      <c r="J748" s="9"/>
      <c r="K748" s="295"/>
    </row>
    <row r="749" spans="1:11" x14ac:dyDescent="0.2">
      <c r="A749" s="443" t="s">
        <v>1036</v>
      </c>
      <c r="B749" s="443"/>
      <c r="C749" s="443"/>
      <c r="D749" s="443"/>
      <c r="E749" s="443"/>
      <c r="F749" s="443"/>
      <c r="G749" s="443"/>
      <c r="H749" s="443"/>
      <c r="I749" s="443"/>
      <c r="J749" s="443"/>
      <c r="K749" s="295"/>
    </row>
    <row r="750" spans="1:11" x14ac:dyDescent="0.2">
      <c r="A750" s="9"/>
      <c r="B750" s="9"/>
      <c r="C750" s="9"/>
      <c r="D750" s="9"/>
      <c r="E750" s="9"/>
      <c r="F750" s="9"/>
      <c r="G750" s="9"/>
      <c r="H750" s="9"/>
      <c r="I750" s="9"/>
      <c r="J750" s="9"/>
      <c r="K750" s="295"/>
    </row>
    <row r="751" spans="1:11" x14ac:dyDescent="0.2">
      <c r="A751" s="33" t="s">
        <v>572</v>
      </c>
      <c r="B751" s="9"/>
      <c r="C751" s="9"/>
      <c r="D751" s="9"/>
      <c r="E751" s="9"/>
      <c r="F751" s="9"/>
      <c r="G751" s="476" t="s">
        <v>571</v>
      </c>
      <c r="H751" s="476"/>
      <c r="I751" s="476"/>
      <c r="J751" s="476"/>
      <c r="K751" s="295"/>
    </row>
    <row r="752" spans="1:11" x14ac:dyDescent="0.2">
      <c r="A752" s="36" t="s">
        <v>251</v>
      </c>
      <c r="B752" s="9"/>
      <c r="C752" s="9"/>
      <c r="D752" s="9"/>
      <c r="E752" s="9"/>
      <c r="F752" s="9"/>
      <c r="G752" s="9"/>
      <c r="H752" s="9"/>
      <c r="I752" s="9"/>
      <c r="J752" s="9"/>
      <c r="K752" s="295"/>
    </row>
    <row r="753" spans="1:11" x14ac:dyDescent="0.2">
      <c r="A753" s="9" t="s">
        <v>628</v>
      </c>
      <c r="B753" s="9"/>
      <c r="C753" s="9"/>
      <c r="D753" s="9"/>
      <c r="E753" s="9"/>
      <c r="F753" s="9"/>
      <c r="G753" s="453"/>
      <c r="H753" s="453"/>
      <c r="I753" s="9"/>
      <c r="J753" s="9"/>
      <c r="K753" s="295"/>
    </row>
    <row r="754" spans="1:11" x14ac:dyDescent="0.2">
      <c r="A754" s="9" t="s">
        <v>629</v>
      </c>
      <c r="B754" s="9"/>
      <c r="C754" s="9"/>
      <c r="D754" s="9"/>
      <c r="E754" s="9"/>
      <c r="F754" s="9"/>
      <c r="G754" s="453"/>
      <c r="H754" s="453"/>
      <c r="I754" s="9"/>
      <c r="J754" s="9"/>
      <c r="K754" s="295"/>
    </row>
    <row r="755" spans="1:11" x14ac:dyDescent="0.2">
      <c r="A755" s="9" t="s">
        <v>630</v>
      </c>
      <c r="B755" s="9"/>
      <c r="C755" s="9"/>
      <c r="D755" s="9"/>
      <c r="E755" s="9"/>
      <c r="F755" s="9"/>
      <c r="G755" s="453"/>
      <c r="H755" s="453"/>
      <c r="I755" s="70" t="str">
        <f>IF(G755="","",G755/I784)</f>
        <v/>
      </c>
      <c r="J755" s="9" t="s">
        <v>607</v>
      </c>
      <c r="K755" s="295"/>
    </row>
    <row r="756" spans="1:11" x14ac:dyDescent="0.2">
      <c r="A756" s="450" t="str">
        <f>IF(I755="","",IF(I755&gt;10%,"&lt;&lt;CONTINGENCY EXCEEDS MAXIMUM&gt;&gt;","CONTINGENCY WITHIN LIMITS"))</f>
        <v/>
      </c>
      <c r="B756" s="450"/>
      <c r="C756" s="450"/>
      <c r="D756" s="450"/>
      <c r="E756" s="450"/>
      <c r="F756" s="450"/>
      <c r="G756" s="1"/>
      <c r="H756" s="9" t="s">
        <v>570</v>
      </c>
      <c r="I756" s="533">
        <f>SUM(G749:H756)</f>
        <v>0</v>
      </c>
      <c r="J756" s="533"/>
      <c r="K756" s="295"/>
    </row>
    <row r="757" spans="1:11" x14ac:dyDescent="0.2">
      <c r="A757" s="9"/>
      <c r="B757" s="9"/>
      <c r="C757" s="9"/>
      <c r="D757" s="9"/>
      <c r="E757" s="9"/>
      <c r="F757" s="9"/>
      <c r="G757" s="9"/>
      <c r="H757" s="9"/>
      <c r="I757" s="9"/>
      <c r="J757" s="9"/>
      <c r="K757" s="295"/>
    </row>
    <row r="758" spans="1:11" x14ac:dyDescent="0.2">
      <c r="A758" s="443" t="s">
        <v>1035</v>
      </c>
      <c r="B758" s="443"/>
      <c r="C758" s="443"/>
      <c r="D758" s="443"/>
      <c r="E758" s="443"/>
      <c r="F758" s="443"/>
      <c r="G758" s="443"/>
      <c r="H758" s="443"/>
      <c r="I758" s="443"/>
      <c r="J758" s="443"/>
      <c r="K758" s="295"/>
    </row>
    <row r="759" spans="1:11" x14ac:dyDescent="0.2">
      <c r="A759" s="9"/>
      <c r="B759" s="9"/>
      <c r="C759" s="9"/>
      <c r="D759" s="9"/>
      <c r="E759" s="9"/>
      <c r="F759" s="9"/>
      <c r="G759" s="9"/>
      <c r="H759" s="9"/>
      <c r="I759" s="9"/>
      <c r="J759" s="9"/>
      <c r="K759" s="295"/>
    </row>
    <row r="760" spans="1:11" x14ac:dyDescent="0.2">
      <c r="A760" s="33" t="s">
        <v>659</v>
      </c>
      <c r="B760" s="9"/>
      <c r="C760" s="9"/>
      <c r="D760" s="9"/>
      <c r="E760" s="9"/>
      <c r="F760" s="9"/>
      <c r="G760" s="476" t="s">
        <v>571</v>
      </c>
      <c r="H760" s="476"/>
      <c r="I760" s="476"/>
      <c r="J760" s="476"/>
      <c r="K760" s="295"/>
    </row>
    <row r="761" spans="1:11" x14ac:dyDescent="0.2">
      <c r="A761" s="36" t="s">
        <v>593</v>
      </c>
      <c r="B761" s="9"/>
      <c r="C761" s="9"/>
      <c r="D761" s="42"/>
      <c r="E761" s="42"/>
      <c r="F761" s="441" t="str">
        <f>IF(J764="","",IF(J764&gt;6%,"&lt;&lt;ACQUISITION FEE EXCEEDS LIMIT&gt;&gt;","ACQUISITION FEE WITHIN LIMIT"))</f>
        <v/>
      </c>
      <c r="G761" s="441"/>
      <c r="H761" s="441"/>
      <c r="I761" s="441"/>
      <c r="J761" s="441"/>
      <c r="K761" s="295"/>
    </row>
    <row r="762" spans="1:11" x14ac:dyDescent="0.2">
      <c r="A762" s="9"/>
      <c r="B762" s="9" t="s">
        <v>631</v>
      </c>
      <c r="C762" s="9"/>
      <c r="D762" s="9"/>
      <c r="E762" s="9"/>
      <c r="F762" s="9"/>
      <c r="G762" s="453"/>
      <c r="H762" s="453"/>
      <c r="I762" s="9"/>
      <c r="J762" s="9"/>
      <c r="K762" s="295"/>
    </row>
    <row r="763" spans="1:11" x14ac:dyDescent="0.2">
      <c r="A763" s="9"/>
      <c r="B763" s="9" t="s">
        <v>632</v>
      </c>
      <c r="C763" s="9"/>
      <c r="D763" s="9"/>
      <c r="E763" s="9"/>
      <c r="F763" s="9"/>
      <c r="G763" s="453"/>
      <c r="H763" s="453"/>
      <c r="I763" s="9"/>
      <c r="J763" s="9"/>
      <c r="K763" s="295"/>
    </row>
    <row r="764" spans="1:11" x14ac:dyDescent="0.2">
      <c r="A764" s="9"/>
      <c r="B764" s="9" t="s">
        <v>633</v>
      </c>
      <c r="C764" s="9"/>
      <c r="D764" s="9"/>
      <c r="E764" s="9"/>
      <c r="F764" s="9"/>
      <c r="G764" s="453"/>
      <c r="H764" s="453"/>
      <c r="I764" s="9"/>
      <c r="J764" s="71" t="str">
        <f>IF(G764=0,"",G764/G763)</f>
        <v/>
      </c>
      <c r="K764" s="295"/>
    </row>
    <row r="765" spans="1:11" x14ac:dyDescent="0.2">
      <c r="A765" s="9"/>
      <c r="B765" s="9" t="s">
        <v>554</v>
      </c>
      <c r="C765" s="9"/>
      <c r="D765" s="9"/>
      <c r="E765" s="9"/>
      <c r="F765" s="9"/>
      <c r="G765" s="533">
        <f>G611</f>
        <v>0</v>
      </c>
      <c r="H765" s="533"/>
      <c r="I765" s="9"/>
      <c r="J765" s="9"/>
      <c r="K765" s="295"/>
    </row>
    <row r="766" spans="1:11" x14ac:dyDescent="0.2">
      <c r="A766" s="9"/>
      <c r="B766" s="9" t="s">
        <v>592</v>
      </c>
      <c r="C766" s="9"/>
      <c r="D766" s="9"/>
      <c r="E766" s="9"/>
      <c r="F766" s="9"/>
      <c r="G766" s="533">
        <f>I623-G765</f>
        <v>0</v>
      </c>
      <c r="H766" s="533"/>
      <c r="I766" s="9"/>
      <c r="J766" s="9"/>
      <c r="K766" s="295"/>
    </row>
    <row r="767" spans="1:11" x14ac:dyDescent="0.2">
      <c r="A767" s="9"/>
      <c r="B767" s="9" t="s">
        <v>634</v>
      </c>
      <c r="C767" s="9"/>
      <c r="D767" s="9"/>
      <c r="E767" s="9"/>
      <c r="F767" s="9"/>
      <c r="G767" s="533">
        <f>I627</f>
        <v>0</v>
      </c>
      <c r="H767" s="533"/>
      <c r="I767" s="9"/>
      <c r="J767" s="9"/>
      <c r="K767" s="295"/>
    </row>
    <row r="768" spans="1:11" x14ac:dyDescent="0.2">
      <c r="A768" s="9"/>
      <c r="B768" s="9" t="s">
        <v>551</v>
      </c>
      <c r="C768" s="437"/>
      <c r="D768" s="437"/>
      <c r="E768" s="437"/>
      <c r="F768" s="1"/>
      <c r="G768" s="453"/>
      <c r="H768" s="453"/>
      <c r="I768" s="533">
        <f>SUM(G762:H768)</f>
        <v>0</v>
      </c>
      <c r="J768" s="533"/>
      <c r="K768" s="295"/>
    </row>
    <row r="769" spans="1:11" x14ac:dyDescent="0.2">
      <c r="A769" s="36" t="s">
        <v>542</v>
      </c>
      <c r="B769" s="9"/>
      <c r="C769" s="9"/>
      <c r="D769" s="9"/>
      <c r="E769" s="9"/>
      <c r="F769" s="9"/>
      <c r="G769" s="9"/>
      <c r="H769" s="9"/>
      <c r="I769" s="1"/>
      <c r="J769" s="1"/>
      <c r="K769" s="295"/>
    </row>
    <row r="770" spans="1:11" x14ac:dyDescent="0.2">
      <c r="A770" s="9"/>
      <c r="B770" s="9" t="s">
        <v>635</v>
      </c>
      <c r="C770" s="9"/>
      <c r="D770" s="9"/>
      <c r="E770" s="9"/>
      <c r="F770" s="9"/>
      <c r="G770" s="533">
        <f>I609</f>
        <v>0</v>
      </c>
      <c r="H770" s="533"/>
      <c r="I770" s="9"/>
      <c r="J770" s="9"/>
      <c r="K770" s="295"/>
    </row>
    <row r="771" spans="1:11" x14ac:dyDescent="0.2">
      <c r="A771" s="9"/>
      <c r="B771" s="9" t="s">
        <v>636</v>
      </c>
      <c r="C771" s="9"/>
      <c r="D771" s="9"/>
      <c r="E771" s="9"/>
      <c r="F771" s="9"/>
      <c r="G771" s="533">
        <f>I634</f>
        <v>0</v>
      </c>
      <c r="H771" s="533"/>
      <c r="I771" s="9"/>
      <c r="J771" s="9"/>
      <c r="K771" s="295"/>
    </row>
    <row r="772" spans="1:11" x14ac:dyDescent="0.2">
      <c r="A772" s="9"/>
      <c r="B772" s="9" t="s">
        <v>637</v>
      </c>
      <c r="C772" s="9"/>
      <c r="D772" s="9"/>
      <c r="E772" s="9"/>
      <c r="F772" s="9"/>
      <c r="G772" s="533">
        <f>I640</f>
        <v>0</v>
      </c>
      <c r="H772" s="533"/>
      <c r="I772" s="9"/>
      <c r="J772" s="9"/>
      <c r="K772" s="295"/>
    </row>
    <row r="773" spans="1:11" x14ac:dyDescent="0.2">
      <c r="A773" s="9"/>
      <c r="B773" s="9" t="s">
        <v>638</v>
      </c>
      <c r="C773" s="9"/>
      <c r="D773" s="9"/>
      <c r="E773" s="9"/>
      <c r="F773" s="9"/>
      <c r="G773" s="533">
        <f>I654</f>
        <v>0</v>
      </c>
      <c r="H773" s="533"/>
      <c r="I773" s="9"/>
      <c r="J773" s="9"/>
      <c r="K773" s="295"/>
    </row>
    <row r="774" spans="1:11" x14ac:dyDescent="0.2">
      <c r="A774" s="9"/>
      <c r="B774" s="9" t="s">
        <v>642</v>
      </c>
      <c r="C774" s="9"/>
      <c r="D774" s="9"/>
      <c r="E774" s="9"/>
      <c r="F774" s="9"/>
      <c r="G774" s="533">
        <f>I664</f>
        <v>0</v>
      </c>
      <c r="H774" s="533"/>
      <c r="I774" s="9"/>
      <c r="J774" s="9"/>
      <c r="K774" s="295"/>
    </row>
    <row r="775" spans="1:11" x14ac:dyDescent="0.2">
      <c r="A775" s="9"/>
      <c r="B775" s="9" t="s">
        <v>643</v>
      </c>
      <c r="C775" s="9"/>
      <c r="D775" s="9"/>
      <c r="E775" s="9"/>
      <c r="F775" s="9"/>
      <c r="G775" s="533">
        <f>I675</f>
        <v>0</v>
      </c>
      <c r="H775" s="533"/>
      <c r="I775" s="9"/>
      <c r="J775" s="9"/>
      <c r="K775" s="295"/>
    </row>
    <row r="776" spans="1:11" x14ac:dyDescent="0.2">
      <c r="A776" s="9"/>
      <c r="B776" s="9" t="s">
        <v>929</v>
      </c>
      <c r="C776" s="9"/>
      <c r="D776" s="9"/>
      <c r="E776" s="9"/>
      <c r="F776" s="9"/>
      <c r="G776" s="533">
        <f>I683</f>
        <v>0</v>
      </c>
      <c r="H776" s="533"/>
      <c r="I776" s="1"/>
      <c r="J776" s="1"/>
      <c r="K776" s="295"/>
    </row>
    <row r="777" spans="1:11" x14ac:dyDescent="0.2">
      <c r="A777" s="9"/>
      <c r="B777" s="9" t="s">
        <v>644</v>
      </c>
      <c r="C777" s="9"/>
      <c r="D777" s="9"/>
      <c r="E777" s="9"/>
      <c r="F777" s="9"/>
      <c r="G777" s="533">
        <f>I691</f>
        <v>0</v>
      </c>
      <c r="H777" s="533"/>
      <c r="I777" s="9"/>
      <c r="J777" s="9"/>
      <c r="K777" s="295"/>
    </row>
    <row r="778" spans="1:11" x14ac:dyDescent="0.2">
      <c r="A778" s="9"/>
      <c r="B778" s="9" t="s">
        <v>645</v>
      </c>
      <c r="C778" s="9"/>
      <c r="D778" s="9"/>
      <c r="E778" s="9"/>
      <c r="F778" s="9"/>
      <c r="G778" s="533">
        <f>I707</f>
        <v>0</v>
      </c>
      <c r="H778" s="533"/>
      <c r="I778" s="9"/>
      <c r="J778" s="9"/>
      <c r="K778" s="295"/>
    </row>
    <row r="779" spans="1:11" x14ac:dyDescent="0.2">
      <c r="A779" s="9"/>
      <c r="B779" s="9" t="s">
        <v>646</v>
      </c>
      <c r="C779" s="9"/>
      <c r="D779" s="9"/>
      <c r="E779" s="9"/>
      <c r="F779" s="9"/>
      <c r="G779" s="533">
        <f>I713</f>
        <v>0</v>
      </c>
      <c r="H779" s="533"/>
      <c r="I779" s="9"/>
      <c r="J779" s="9"/>
      <c r="K779" s="295"/>
    </row>
    <row r="780" spans="1:11" x14ac:dyDescent="0.2">
      <c r="A780" s="9"/>
      <c r="B780" s="9" t="s">
        <v>647</v>
      </c>
      <c r="C780" s="9"/>
      <c r="D780" s="9"/>
      <c r="E780" s="9"/>
      <c r="F780" s="9"/>
      <c r="G780" s="533">
        <f>I719</f>
        <v>0</v>
      </c>
      <c r="H780" s="533"/>
      <c r="I780" s="9"/>
      <c r="J780" s="9"/>
      <c r="K780" s="295"/>
    </row>
    <row r="781" spans="1:11" x14ac:dyDescent="0.2">
      <c r="A781" s="9"/>
      <c r="B781" s="9" t="s">
        <v>648</v>
      </c>
      <c r="C781" s="9"/>
      <c r="D781" s="9"/>
      <c r="E781" s="9"/>
      <c r="F781" s="9"/>
      <c r="G781" s="533">
        <f>I723</f>
        <v>0</v>
      </c>
      <c r="H781" s="533"/>
      <c r="I781" s="9"/>
      <c r="J781" s="9"/>
      <c r="K781" s="295"/>
    </row>
    <row r="782" spans="1:11" x14ac:dyDescent="0.2">
      <c r="A782" s="9"/>
      <c r="B782" s="9" t="s">
        <v>649</v>
      </c>
      <c r="C782" s="9"/>
      <c r="D782" s="9"/>
      <c r="E782" s="9"/>
      <c r="F782" s="9"/>
      <c r="G782" s="533">
        <f>I731</f>
        <v>0</v>
      </c>
      <c r="H782" s="533"/>
      <c r="I782" s="9"/>
      <c r="J782" s="9"/>
      <c r="K782" s="295"/>
    </row>
    <row r="783" spans="1:11" x14ac:dyDescent="0.2">
      <c r="A783" s="9"/>
      <c r="B783" s="9" t="s">
        <v>653</v>
      </c>
      <c r="C783" s="9"/>
      <c r="D783" s="9"/>
      <c r="E783" s="9"/>
      <c r="F783" s="9"/>
      <c r="G783" s="533">
        <f>I738</f>
        <v>0</v>
      </c>
      <c r="H783" s="533"/>
      <c r="I783" s="9"/>
      <c r="J783" s="9"/>
      <c r="K783" s="295"/>
    </row>
    <row r="784" spans="1:11" x14ac:dyDescent="0.2">
      <c r="A784" s="9"/>
      <c r="B784" s="9" t="s">
        <v>129</v>
      </c>
      <c r="C784" s="9"/>
      <c r="D784" s="9"/>
      <c r="E784" s="9"/>
      <c r="F784" s="9"/>
      <c r="G784" s="533">
        <f>G740+G742</f>
        <v>0</v>
      </c>
      <c r="H784" s="533"/>
      <c r="I784" s="533">
        <f>SUM(G770:G784)</f>
        <v>0</v>
      </c>
      <c r="J784" s="533"/>
      <c r="K784" s="295"/>
    </row>
    <row r="785" spans="1:11" x14ac:dyDescent="0.2">
      <c r="A785" s="36" t="s">
        <v>543</v>
      </c>
      <c r="B785" s="9"/>
      <c r="C785" s="9"/>
      <c r="D785" s="9"/>
      <c r="E785" s="9"/>
      <c r="F785" s="9"/>
      <c r="G785" s="130"/>
      <c r="H785" s="130"/>
      <c r="I785" s="9"/>
      <c r="J785" s="9"/>
      <c r="K785" s="295"/>
    </row>
    <row r="786" spans="1:11" x14ac:dyDescent="0.2">
      <c r="A786" s="9"/>
      <c r="B786" s="9" t="s">
        <v>654</v>
      </c>
      <c r="C786" s="9"/>
      <c r="D786" s="9"/>
      <c r="E786" s="9"/>
      <c r="F786" s="9"/>
      <c r="G786" s="533">
        <f>G741</f>
        <v>0</v>
      </c>
      <c r="H786" s="533"/>
      <c r="I786" s="9"/>
      <c r="J786" s="9"/>
      <c r="K786" s="295"/>
    </row>
    <row r="787" spans="1:11" x14ac:dyDescent="0.2">
      <c r="A787" s="9"/>
      <c r="B787" s="9" t="s">
        <v>845</v>
      </c>
      <c r="C787" s="9"/>
      <c r="D787" s="9"/>
      <c r="E787" s="9"/>
      <c r="F787" s="9"/>
      <c r="G787" s="627">
        <v>0</v>
      </c>
      <c r="H787" s="627"/>
      <c r="I787" s="9"/>
      <c r="J787" s="9"/>
      <c r="K787" s="295"/>
    </row>
    <row r="788" spans="1:11" x14ac:dyDescent="0.2">
      <c r="A788" s="9"/>
      <c r="B788" s="9" t="s">
        <v>630</v>
      </c>
      <c r="C788" s="9"/>
      <c r="D788" s="9"/>
      <c r="E788" s="9"/>
      <c r="F788" s="9"/>
      <c r="G788" s="533">
        <f>G755</f>
        <v>0</v>
      </c>
      <c r="H788" s="533"/>
      <c r="I788" s="9"/>
      <c r="J788" s="9"/>
      <c r="K788" s="295"/>
    </row>
    <row r="789" spans="1:11" x14ac:dyDescent="0.2">
      <c r="A789" s="9"/>
      <c r="B789" s="9" t="s">
        <v>551</v>
      </c>
      <c r="C789" s="437"/>
      <c r="D789" s="437"/>
      <c r="E789" s="437"/>
      <c r="F789" s="9"/>
      <c r="G789" s="453"/>
      <c r="H789" s="453"/>
      <c r="I789" s="9"/>
      <c r="J789" s="9"/>
      <c r="K789" s="295"/>
    </row>
    <row r="790" spans="1:11" x14ac:dyDescent="0.2">
      <c r="A790" s="9"/>
      <c r="B790" s="9" t="s">
        <v>551</v>
      </c>
      <c r="C790" s="437"/>
      <c r="D790" s="437"/>
      <c r="E790" s="437"/>
      <c r="F790" s="9"/>
      <c r="G790" s="453"/>
      <c r="H790" s="453"/>
      <c r="I790" s="533">
        <f>SUM(G786:G790)</f>
        <v>0</v>
      </c>
      <c r="J790" s="533"/>
      <c r="K790" s="295"/>
    </row>
    <row r="791" spans="1:11" x14ac:dyDescent="0.2">
      <c r="A791" s="36" t="s">
        <v>655</v>
      </c>
      <c r="B791" s="9"/>
      <c r="C791" s="9"/>
      <c r="D791" s="9"/>
      <c r="E791" s="9"/>
      <c r="F791" s="9"/>
      <c r="G791" s="9"/>
      <c r="H791" s="9"/>
      <c r="I791" s="1"/>
      <c r="J791" s="1"/>
      <c r="K791" s="295"/>
    </row>
    <row r="792" spans="1:11" x14ac:dyDescent="0.2">
      <c r="A792" s="9"/>
      <c r="B792" s="9" t="s">
        <v>656</v>
      </c>
      <c r="C792" s="9"/>
      <c r="D792" s="9"/>
      <c r="E792" s="9"/>
      <c r="F792" s="9"/>
      <c r="G792" s="453"/>
      <c r="H792" s="453"/>
      <c r="I792" s="9"/>
      <c r="J792" s="9"/>
      <c r="K792" s="295"/>
    </row>
    <row r="793" spans="1:11" x14ac:dyDescent="0.2">
      <c r="A793" s="9"/>
      <c r="B793" s="9" t="s">
        <v>657</v>
      </c>
      <c r="C793" s="9"/>
      <c r="D793" s="9"/>
      <c r="E793" s="9"/>
      <c r="F793" s="9"/>
      <c r="G793" s="453"/>
      <c r="H793" s="453"/>
      <c r="I793" s="9"/>
      <c r="J793" s="9"/>
      <c r="K793" s="295"/>
    </row>
    <row r="794" spans="1:11" x14ac:dyDescent="0.2">
      <c r="A794" s="9"/>
      <c r="B794" s="9" t="s">
        <v>658</v>
      </c>
      <c r="C794" s="9"/>
      <c r="D794" s="9"/>
      <c r="E794" s="9"/>
      <c r="F794" s="9"/>
      <c r="G794" s="453"/>
      <c r="H794" s="453"/>
      <c r="I794" s="9"/>
      <c r="J794" s="9"/>
      <c r="K794" s="295"/>
    </row>
    <row r="795" spans="1:11" x14ac:dyDescent="0.2">
      <c r="A795" s="9"/>
      <c r="B795" s="9" t="s">
        <v>922</v>
      </c>
      <c r="C795" s="9"/>
      <c r="D795" s="9"/>
      <c r="E795" s="9"/>
      <c r="F795" s="9"/>
      <c r="G795" s="453"/>
      <c r="H795" s="453"/>
      <c r="I795" s="9"/>
      <c r="J795" s="9"/>
      <c r="K795" s="295"/>
    </row>
    <row r="796" spans="1:11" x14ac:dyDescent="0.2">
      <c r="A796" s="9"/>
      <c r="B796" s="9" t="s">
        <v>551</v>
      </c>
      <c r="C796" s="437"/>
      <c r="D796" s="437"/>
      <c r="E796" s="437"/>
      <c r="F796" s="9"/>
      <c r="G796" s="453"/>
      <c r="H796" s="453"/>
      <c r="I796" s="9"/>
      <c r="J796" s="9"/>
      <c r="K796" s="295"/>
    </row>
    <row r="797" spans="1:11" x14ac:dyDescent="0.2">
      <c r="A797" s="9"/>
      <c r="B797" s="9" t="s">
        <v>551</v>
      </c>
      <c r="C797" s="437"/>
      <c r="D797" s="437"/>
      <c r="E797" s="437"/>
      <c r="F797" s="9"/>
      <c r="G797" s="453"/>
      <c r="H797" s="453"/>
      <c r="I797" s="533">
        <f>SUM(G792:H797)</f>
        <v>0</v>
      </c>
      <c r="J797" s="533"/>
      <c r="K797" s="295"/>
    </row>
    <row r="798" spans="1:11" x14ac:dyDescent="0.2">
      <c r="A798" s="441" t="s">
        <v>1060</v>
      </c>
      <c r="B798" s="441"/>
      <c r="C798" s="441"/>
      <c r="D798" s="441"/>
      <c r="E798" s="441"/>
      <c r="F798" s="441"/>
      <c r="G798" s="441"/>
      <c r="H798" s="441"/>
      <c r="I798" s="441"/>
      <c r="J798" s="441"/>
      <c r="K798" s="295"/>
    </row>
    <row r="799" spans="1:11" x14ac:dyDescent="0.2">
      <c r="A799" s="441" t="s">
        <v>1061</v>
      </c>
      <c r="B799" s="441"/>
      <c r="C799" s="441"/>
      <c r="D799" s="441"/>
      <c r="E799" s="441"/>
      <c r="F799" s="441"/>
      <c r="G799" s="441"/>
      <c r="H799" s="441"/>
      <c r="I799" s="441"/>
      <c r="J799" s="441"/>
      <c r="K799" s="295"/>
    </row>
    <row r="800" spans="1:11" x14ac:dyDescent="0.2">
      <c r="A800" s="441" t="s">
        <v>88</v>
      </c>
      <c r="B800" s="441"/>
      <c r="C800" s="441"/>
      <c r="D800" s="441"/>
      <c r="E800" s="441"/>
      <c r="F800" s="441"/>
      <c r="G800" s="441"/>
      <c r="H800" s="441"/>
      <c r="I800" s="441"/>
      <c r="J800" s="441"/>
      <c r="K800" s="295"/>
    </row>
    <row r="801" spans="1:12" x14ac:dyDescent="0.2">
      <c r="A801" s="26"/>
      <c r="B801" s="9"/>
      <c r="C801" s="9"/>
      <c r="D801" s="446" t="str">
        <f>IF($B$229="","",$B$229)</f>
        <v/>
      </c>
      <c r="E801" s="446"/>
      <c r="F801" s="446"/>
      <c r="G801" s="446"/>
      <c r="H801" s="9"/>
      <c r="I801" s="27"/>
      <c r="J801" s="9"/>
      <c r="K801" s="295"/>
    </row>
    <row r="802" spans="1:12" x14ac:dyDescent="0.2">
      <c r="A802" s="9"/>
      <c r="B802" s="9"/>
      <c r="C802" s="9"/>
      <c r="D802" s="443" t="s">
        <v>1143</v>
      </c>
      <c r="E802" s="443"/>
      <c r="F802" s="443"/>
      <c r="G802" s="443"/>
      <c r="H802" s="9"/>
      <c r="I802" s="9"/>
      <c r="J802" s="9"/>
      <c r="K802" s="295"/>
    </row>
    <row r="803" spans="1:12" x14ac:dyDescent="0.2">
      <c r="A803" s="443" t="s">
        <v>1038</v>
      </c>
      <c r="B803" s="443"/>
      <c r="C803" s="443"/>
      <c r="D803" s="443"/>
      <c r="E803" s="443"/>
      <c r="F803" s="443"/>
      <c r="G803" s="443"/>
      <c r="H803" s="443"/>
      <c r="I803" s="443"/>
      <c r="J803" s="443"/>
      <c r="K803" s="295"/>
    </row>
    <row r="804" spans="1:12" x14ac:dyDescent="0.2">
      <c r="A804" s="9"/>
      <c r="B804" s="9"/>
      <c r="C804" s="9"/>
      <c r="D804" s="9"/>
      <c r="E804" s="9"/>
      <c r="F804" s="9"/>
      <c r="G804" s="9"/>
      <c r="H804" s="9"/>
      <c r="I804" s="9"/>
      <c r="J804" s="9"/>
      <c r="K804" s="295"/>
    </row>
    <row r="805" spans="1:12" x14ac:dyDescent="0.2">
      <c r="A805" s="33" t="s">
        <v>659</v>
      </c>
      <c r="B805" s="9"/>
      <c r="C805" s="9"/>
      <c r="D805" s="9"/>
      <c r="E805" s="9"/>
      <c r="F805" s="9"/>
      <c r="G805" s="476" t="s">
        <v>571</v>
      </c>
      <c r="H805" s="476"/>
      <c r="I805" s="476"/>
      <c r="J805" s="476"/>
      <c r="K805" s="295"/>
    </row>
    <row r="806" spans="1:12" x14ac:dyDescent="0.2">
      <c r="A806" s="36" t="s">
        <v>660</v>
      </c>
      <c r="B806" s="9"/>
      <c r="C806" s="9"/>
      <c r="D806" s="441"/>
      <c r="E806" s="441"/>
      <c r="F806" s="441"/>
      <c r="G806" s="441"/>
      <c r="H806" s="441"/>
      <c r="I806" s="9"/>
      <c r="J806" s="70" t="str">
        <f>IF(I811=0,"",I811/I844)</f>
        <v/>
      </c>
      <c r="K806" s="295"/>
    </row>
    <row r="807" spans="1:12" x14ac:dyDescent="0.2">
      <c r="A807" s="9"/>
      <c r="B807" s="9" t="s">
        <v>628</v>
      </c>
      <c r="C807" s="9"/>
      <c r="D807" s="9"/>
      <c r="E807" s="9"/>
      <c r="F807" s="9"/>
      <c r="G807" s="533">
        <f>G753</f>
        <v>0</v>
      </c>
      <c r="H807" s="533"/>
      <c r="I807" s="290" t="str">
        <f>IF(G807=0,"",G807/I784)</f>
        <v/>
      </c>
      <c r="J807" s="291" t="str">
        <f>IF(I807="","","of HCC")</f>
        <v/>
      </c>
      <c r="K807" s="295"/>
    </row>
    <row r="808" spans="1:12" x14ac:dyDescent="0.2">
      <c r="A808" s="9"/>
      <c r="B808" s="9" t="s">
        <v>629</v>
      </c>
      <c r="C808" s="9"/>
      <c r="D808" s="9"/>
      <c r="E808" s="9"/>
      <c r="F808" s="9"/>
      <c r="G808" s="533">
        <f>G754</f>
        <v>0</v>
      </c>
      <c r="H808" s="533"/>
      <c r="I808" s="290" t="str">
        <f>IF(G808=0,"",G808/I784)</f>
        <v/>
      </c>
      <c r="J808" s="291" t="str">
        <f>IF(I808="","","of HCC")</f>
        <v/>
      </c>
      <c r="K808" s="295"/>
    </row>
    <row r="809" spans="1:12" x14ac:dyDescent="0.2">
      <c r="A809" s="9"/>
      <c r="B809" s="9" t="s">
        <v>661</v>
      </c>
      <c r="C809" s="9"/>
      <c r="D809" s="9"/>
      <c r="E809" s="9"/>
      <c r="F809" s="9"/>
      <c r="G809" s="453"/>
      <c r="H809" s="453"/>
      <c r="I809" s="290" t="str">
        <f>IF(G809=0,"",G809/I844)</f>
        <v/>
      </c>
      <c r="J809" s="291" t="str">
        <f>IF(I809="","","of TDC")</f>
        <v/>
      </c>
      <c r="K809" s="295"/>
    </row>
    <row r="810" spans="1:12" x14ac:dyDescent="0.2">
      <c r="A810" s="9"/>
      <c r="B810" s="9" t="s">
        <v>662</v>
      </c>
      <c r="C810" s="9"/>
      <c r="D810" s="9"/>
      <c r="E810" s="9"/>
      <c r="F810" s="9"/>
      <c r="G810" s="453"/>
      <c r="H810" s="453"/>
      <c r="I810" s="290" t="str">
        <f>IF(G810=0,"",G810/I844)</f>
        <v/>
      </c>
      <c r="J810" s="291" t="str">
        <f>IF(I810="","","of TDC")</f>
        <v/>
      </c>
      <c r="K810" s="295"/>
    </row>
    <row r="811" spans="1:12" ht="13.15" customHeight="1" x14ac:dyDescent="0.2">
      <c r="A811" s="9"/>
      <c r="B811" s="9" t="s">
        <v>33</v>
      </c>
      <c r="C811" s="9"/>
      <c r="D811" s="9"/>
      <c r="E811" s="9"/>
      <c r="F811" s="9"/>
      <c r="G811" s="453"/>
      <c r="H811" s="453"/>
      <c r="I811" s="533">
        <f>SUM(G807:G811)</f>
        <v>0</v>
      </c>
      <c r="J811" s="533"/>
      <c r="K811" s="295"/>
    </row>
    <row r="812" spans="1:12" x14ac:dyDescent="0.2">
      <c r="A812" s="36" t="s">
        <v>932</v>
      </c>
      <c r="B812" s="9"/>
      <c r="C812" s="9"/>
      <c r="D812" s="9"/>
      <c r="E812" s="9"/>
      <c r="F812" s="9"/>
      <c r="G812" s="9"/>
      <c r="H812" s="9"/>
      <c r="I812" s="1"/>
      <c r="J812" s="1"/>
      <c r="K812" s="295"/>
    </row>
    <row r="813" spans="1:12" x14ac:dyDescent="0.2">
      <c r="A813" s="9"/>
      <c r="B813" s="9" t="s">
        <v>663</v>
      </c>
      <c r="C813" s="9"/>
      <c r="D813" s="9"/>
      <c r="E813" s="9"/>
      <c r="F813" s="9"/>
      <c r="G813" s="453"/>
      <c r="H813" s="453"/>
      <c r="I813" s="9"/>
      <c r="J813" s="9"/>
      <c r="K813" s="295"/>
    </row>
    <row r="814" spans="1:12" x14ac:dyDescent="0.2">
      <c r="A814" s="9"/>
      <c r="B814" s="9" t="s">
        <v>664</v>
      </c>
      <c r="C814" s="9"/>
      <c r="D814" s="9"/>
      <c r="E814" s="9"/>
      <c r="F814" s="9"/>
      <c r="G814" s="453"/>
      <c r="H814" s="453"/>
      <c r="I814" s="9"/>
      <c r="J814" s="9"/>
      <c r="K814" s="295"/>
      <c r="L814" s="23" t="s">
        <v>389</v>
      </c>
    </row>
    <row r="815" spans="1:12" x14ac:dyDescent="0.2">
      <c r="A815" s="9"/>
      <c r="B815" s="9" t="s">
        <v>665</v>
      </c>
      <c r="C815" s="9"/>
      <c r="D815" s="9"/>
      <c r="E815" s="9"/>
      <c r="F815" s="9"/>
      <c r="G815" s="453"/>
      <c r="H815" s="453"/>
      <c r="I815" s="9"/>
      <c r="J815" s="9"/>
      <c r="K815" s="295"/>
      <c r="L815" s="23" t="s">
        <v>5</v>
      </c>
    </row>
    <row r="816" spans="1:12" x14ac:dyDescent="0.2">
      <c r="A816" s="9"/>
      <c r="B816" s="9" t="s">
        <v>666</v>
      </c>
      <c r="C816" s="9"/>
      <c r="D816" s="9"/>
      <c r="E816" s="9"/>
      <c r="F816" s="9"/>
      <c r="G816" s="453"/>
      <c r="H816" s="453"/>
      <c r="I816" s="9"/>
      <c r="J816" s="9"/>
      <c r="K816" s="295"/>
      <c r="L816" s="23" t="s">
        <v>683</v>
      </c>
    </row>
    <row r="817" spans="1:12" x14ac:dyDescent="0.2">
      <c r="A817" s="9"/>
      <c r="B817" s="9" t="s">
        <v>667</v>
      </c>
      <c r="C817" s="9"/>
      <c r="D817" s="9"/>
      <c r="E817" s="9"/>
      <c r="F817" s="9"/>
      <c r="G817" s="453"/>
      <c r="H817" s="453"/>
      <c r="I817" s="9"/>
      <c r="J817" s="9"/>
      <c r="K817" s="295"/>
      <c r="L817" s="23" t="s">
        <v>684</v>
      </c>
    </row>
    <row r="818" spans="1:12" x14ac:dyDescent="0.2">
      <c r="A818" s="9"/>
      <c r="B818" s="9" t="s">
        <v>923</v>
      </c>
      <c r="C818" s="9"/>
      <c r="D818" s="9"/>
      <c r="E818" s="9"/>
      <c r="F818" s="9"/>
      <c r="G818" s="453"/>
      <c r="H818" s="453"/>
      <c r="I818" s="9"/>
      <c r="J818" s="9"/>
      <c r="K818" s="295"/>
      <c r="L818" s="23" t="s">
        <v>685</v>
      </c>
    </row>
    <row r="819" spans="1:12" x14ac:dyDescent="0.2">
      <c r="A819" s="9"/>
      <c r="B819" s="9" t="s">
        <v>668</v>
      </c>
      <c r="C819" s="9"/>
      <c r="D819" s="9"/>
      <c r="E819" s="9"/>
      <c r="F819" s="9"/>
      <c r="G819" s="453"/>
      <c r="H819" s="453"/>
      <c r="I819" s="9"/>
      <c r="J819" s="9"/>
      <c r="K819" s="295"/>
      <c r="L819" s="23" t="s">
        <v>686</v>
      </c>
    </row>
    <row r="820" spans="1:12" x14ac:dyDescent="0.2">
      <c r="A820" s="9"/>
      <c r="B820" s="9" t="s">
        <v>440</v>
      </c>
      <c r="C820" s="437"/>
      <c r="D820" s="437"/>
      <c r="E820" s="437"/>
      <c r="F820" s="9"/>
      <c r="G820" s="453"/>
      <c r="H820" s="453"/>
      <c r="I820" s="9"/>
      <c r="J820" s="9"/>
      <c r="K820" s="295"/>
      <c r="L820" s="23" t="s">
        <v>687</v>
      </c>
    </row>
    <row r="821" spans="1:12" x14ac:dyDescent="0.2">
      <c r="A821" s="9"/>
      <c r="B821" s="9" t="s">
        <v>440</v>
      </c>
      <c r="C821" s="437"/>
      <c r="D821" s="437"/>
      <c r="E821" s="437"/>
      <c r="F821" s="9"/>
      <c r="G821" s="453"/>
      <c r="H821" s="453"/>
      <c r="I821" s="533">
        <f>SUM(G813:H821)</f>
        <v>0</v>
      </c>
      <c r="J821" s="533"/>
      <c r="K821" s="295"/>
      <c r="L821" s="23" t="s">
        <v>232</v>
      </c>
    </row>
    <row r="822" spans="1:12" x14ac:dyDescent="0.2">
      <c r="A822" s="36" t="s">
        <v>933</v>
      </c>
      <c r="B822" s="9"/>
      <c r="C822" s="9"/>
      <c r="D822" s="9"/>
      <c r="E822" s="9"/>
      <c r="F822" s="9"/>
      <c r="G822" s="9"/>
      <c r="H822" s="9"/>
      <c r="I822" s="1"/>
      <c r="J822" s="1"/>
      <c r="K822" s="295"/>
      <c r="L822" s="23" t="s">
        <v>748</v>
      </c>
    </row>
    <row r="823" spans="1:12" x14ac:dyDescent="0.2">
      <c r="A823" s="9"/>
      <c r="B823" s="9" t="s">
        <v>669</v>
      </c>
      <c r="C823" s="9"/>
      <c r="D823" s="9"/>
      <c r="E823" s="9"/>
      <c r="F823" s="9"/>
      <c r="G823" s="453"/>
      <c r="H823" s="453"/>
      <c r="I823" s="9"/>
      <c r="J823" s="9"/>
      <c r="K823" s="295"/>
    </row>
    <row r="824" spans="1:12" x14ac:dyDescent="0.2">
      <c r="A824" s="9"/>
      <c r="B824" s="9" t="s">
        <v>670</v>
      </c>
      <c r="C824" s="9"/>
      <c r="D824" s="9"/>
      <c r="E824" s="9"/>
      <c r="F824" s="9"/>
      <c r="G824" s="453"/>
      <c r="H824" s="453"/>
      <c r="I824" s="9"/>
      <c r="J824" s="9"/>
      <c r="K824" s="295"/>
    </row>
    <row r="825" spans="1:12" x14ac:dyDescent="0.2">
      <c r="A825" s="9"/>
      <c r="B825" s="9" t="s">
        <v>924</v>
      </c>
      <c r="C825" s="9"/>
      <c r="D825" s="9"/>
      <c r="E825" s="9"/>
      <c r="F825" s="9"/>
      <c r="G825" s="453"/>
      <c r="H825" s="453"/>
      <c r="I825" s="9"/>
      <c r="J825" s="9"/>
      <c r="K825" s="295"/>
      <c r="L825" s="23" t="s">
        <v>227</v>
      </c>
    </row>
    <row r="826" spans="1:12" x14ac:dyDescent="0.2">
      <c r="A826" s="9"/>
      <c r="B826" s="9" t="s">
        <v>1022</v>
      </c>
      <c r="C826" s="9"/>
      <c r="D826" s="9"/>
      <c r="E826" s="9"/>
      <c r="F826" s="9"/>
      <c r="G826" s="453"/>
      <c r="H826" s="453"/>
      <c r="I826" s="9"/>
      <c r="J826" s="9"/>
      <c r="K826" s="295"/>
      <c r="L826" s="23" t="s">
        <v>226</v>
      </c>
    </row>
    <row r="827" spans="1:12" x14ac:dyDescent="0.2">
      <c r="A827" s="9"/>
      <c r="B827" s="9" t="s">
        <v>668</v>
      </c>
      <c r="C827" s="9"/>
      <c r="D827" s="9"/>
      <c r="E827" s="9"/>
      <c r="F827" s="9"/>
      <c r="G827" s="453"/>
      <c r="H827" s="453"/>
      <c r="I827" s="9"/>
      <c r="J827" s="9"/>
      <c r="K827" s="295"/>
    </row>
    <row r="828" spans="1:12" x14ac:dyDescent="0.2">
      <c r="A828" s="9"/>
      <c r="B828" s="9" t="s">
        <v>440</v>
      </c>
      <c r="C828" s="437"/>
      <c r="D828" s="437"/>
      <c r="E828" s="437"/>
      <c r="F828" s="9"/>
      <c r="G828" s="453"/>
      <c r="H828" s="453"/>
      <c r="I828" s="9"/>
      <c r="J828" s="9"/>
      <c r="K828" s="295"/>
      <c r="L828" s="23" t="s">
        <v>689</v>
      </c>
    </row>
    <row r="829" spans="1:12" x14ac:dyDescent="0.2">
      <c r="A829" s="9"/>
      <c r="B829" s="9" t="s">
        <v>551</v>
      </c>
      <c r="C829" s="437"/>
      <c r="D829" s="437"/>
      <c r="E829" s="437"/>
      <c r="F829" s="9"/>
      <c r="G829" s="453"/>
      <c r="H829" s="453"/>
      <c r="I829" s="533">
        <f>SUM(G823:H829)</f>
        <v>0</v>
      </c>
      <c r="J829" s="533"/>
      <c r="K829" s="295"/>
      <c r="L829" s="23" t="s">
        <v>686</v>
      </c>
    </row>
    <row r="830" spans="1:12" x14ac:dyDescent="0.2">
      <c r="A830" s="36" t="s">
        <v>544</v>
      </c>
      <c r="B830" s="9"/>
      <c r="C830" s="9"/>
      <c r="D830" s="9"/>
      <c r="E830" s="9"/>
      <c r="F830" s="9"/>
      <c r="G830" s="9"/>
      <c r="H830" s="9"/>
      <c r="I830" s="1"/>
      <c r="J830" s="1"/>
      <c r="K830" s="295"/>
      <c r="L830" s="23" t="s">
        <v>688</v>
      </c>
    </row>
    <row r="831" spans="1:12" x14ac:dyDescent="0.2">
      <c r="A831" s="9"/>
      <c r="B831" s="9" t="s">
        <v>163</v>
      </c>
      <c r="C831" s="9"/>
      <c r="D831" s="9"/>
      <c r="E831" s="9"/>
      <c r="F831" s="9"/>
      <c r="G831" s="453"/>
      <c r="H831" s="453"/>
      <c r="I831" s="9"/>
      <c r="J831" s="9"/>
      <c r="K831" s="295"/>
      <c r="L831" s="23" t="s">
        <v>707</v>
      </c>
    </row>
    <row r="832" spans="1:12" x14ac:dyDescent="0.2">
      <c r="A832" s="9"/>
      <c r="B832" s="9" t="s">
        <v>671</v>
      </c>
      <c r="C832" s="9"/>
      <c r="D832" s="9"/>
      <c r="E832" s="9"/>
      <c r="F832" s="9"/>
      <c r="G832" s="453"/>
      <c r="H832" s="453"/>
      <c r="I832" s="9"/>
      <c r="J832" s="9"/>
      <c r="K832" s="295"/>
      <c r="L832" s="23" t="s">
        <v>701</v>
      </c>
    </row>
    <row r="833" spans="1:11" x14ac:dyDescent="0.2">
      <c r="A833" s="9"/>
      <c r="B833" s="9" t="s">
        <v>672</v>
      </c>
      <c r="C833" s="9"/>
      <c r="D833" s="9"/>
      <c r="E833" s="9"/>
      <c r="F833" s="9"/>
      <c r="G833" s="453"/>
      <c r="H833" s="453"/>
      <c r="I833" s="9"/>
      <c r="J833" s="9"/>
      <c r="K833" s="295"/>
    </row>
    <row r="834" spans="1:11" x14ac:dyDescent="0.2">
      <c r="A834" s="9"/>
      <c r="B834" s="9" t="s">
        <v>673</v>
      </c>
      <c r="C834" s="9"/>
      <c r="D834" s="9"/>
      <c r="E834" s="9"/>
      <c r="F834" s="9"/>
      <c r="G834" s="453"/>
      <c r="H834" s="453"/>
      <c r="I834" s="9"/>
      <c r="J834" s="9"/>
      <c r="K834" s="295"/>
    </row>
    <row r="835" spans="1:11" x14ac:dyDescent="0.2">
      <c r="A835" s="9"/>
      <c r="B835" s="9" t="s">
        <v>934</v>
      </c>
      <c r="C835" s="9"/>
      <c r="D835" s="9"/>
      <c r="E835" s="9"/>
      <c r="F835" s="9"/>
      <c r="G835" s="453"/>
      <c r="H835" s="453"/>
      <c r="I835" s="9"/>
      <c r="J835" s="9"/>
      <c r="K835" s="295"/>
    </row>
    <row r="836" spans="1:11" x14ac:dyDescent="0.2">
      <c r="A836" s="9"/>
      <c r="B836" s="9" t="s">
        <v>440</v>
      </c>
      <c r="C836" s="437"/>
      <c r="D836" s="437"/>
      <c r="E836" s="437"/>
      <c r="F836" s="9"/>
      <c r="G836" s="453"/>
      <c r="H836" s="453"/>
      <c r="I836" s="533">
        <f>SUM(G831:H836)</f>
        <v>0</v>
      </c>
      <c r="J836" s="533"/>
      <c r="K836" s="295"/>
    </row>
    <row r="837" spans="1:11" x14ac:dyDescent="0.2">
      <c r="A837" s="36" t="s">
        <v>925</v>
      </c>
      <c r="B837" s="9"/>
      <c r="C837" s="9"/>
      <c r="D837" s="9"/>
      <c r="E837" s="9"/>
      <c r="F837" s="9"/>
      <c r="G837" s="9"/>
      <c r="H837" s="9"/>
      <c r="I837" s="9"/>
      <c r="J837" s="9"/>
      <c r="K837" s="295"/>
    </row>
    <row r="838" spans="1:11" x14ac:dyDescent="0.2">
      <c r="A838" s="9"/>
      <c r="B838" s="9" t="s">
        <v>926</v>
      </c>
      <c r="C838" s="9"/>
      <c r="D838" s="9"/>
      <c r="E838" s="9"/>
      <c r="F838" s="9"/>
      <c r="G838" s="453"/>
      <c r="H838" s="453"/>
      <c r="I838" s="9"/>
      <c r="J838" s="9"/>
      <c r="K838" s="295"/>
    </row>
    <row r="839" spans="1:11" x14ac:dyDescent="0.2">
      <c r="A839" s="9"/>
      <c r="B839" s="9" t="s">
        <v>927</v>
      </c>
      <c r="C839" s="9"/>
      <c r="D839" s="9"/>
      <c r="E839" s="9"/>
      <c r="F839" s="9"/>
      <c r="G839" s="453"/>
      <c r="H839" s="453"/>
      <c r="I839" s="9"/>
      <c r="J839" s="9"/>
      <c r="K839" s="295"/>
    </row>
    <row r="840" spans="1:11" x14ac:dyDescent="0.2">
      <c r="A840" s="9"/>
      <c r="B840" s="9" t="s">
        <v>928</v>
      </c>
      <c r="C840" s="9"/>
      <c r="D840" s="9"/>
      <c r="E840" s="9"/>
      <c r="F840" s="9"/>
      <c r="G840" s="453"/>
      <c r="H840" s="453"/>
      <c r="I840" s="9"/>
      <c r="J840" s="9"/>
      <c r="K840" s="295"/>
    </row>
    <row r="841" spans="1:11" x14ac:dyDescent="0.2">
      <c r="A841" s="36"/>
      <c r="B841" s="9" t="s">
        <v>43</v>
      </c>
      <c r="C841" s="9"/>
      <c r="D841" s="9"/>
      <c r="E841" s="9"/>
      <c r="F841" s="9"/>
      <c r="G841" s="453"/>
      <c r="H841" s="453"/>
      <c r="I841" s="9"/>
      <c r="J841" s="9"/>
      <c r="K841" s="295"/>
    </row>
    <row r="842" spans="1:11" x14ac:dyDescent="0.2">
      <c r="A842" s="9"/>
      <c r="B842" s="9" t="s">
        <v>440</v>
      </c>
      <c r="C842" s="437"/>
      <c r="D842" s="437"/>
      <c r="E842" s="437"/>
      <c r="F842" s="9"/>
      <c r="G842" s="453"/>
      <c r="H842" s="453"/>
      <c r="I842" s="533">
        <f>SUM(G837:H842)</f>
        <v>0</v>
      </c>
      <c r="J842" s="533"/>
      <c r="K842" s="295"/>
    </row>
    <row r="843" spans="1:11" x14ac:dyDescent="0.2">
      <c r="A843" s="9"/>
      <c r="B843" s="9"/>
      <c r="C843" s="9"/>
      <c r="D843" s="9"/>
      <c r="E843" s="9"/>
      <c r="F843" s="9"/>
      <c r="G843" s="9"/>
      <c r="H843" s="9"/>
      <c r="I843" s="1"/>
      <c r="J843" s="1"/>
      <c r="K843" s="295"/>
    </row>
    <row r="844" spans="1:11" x14ac:dyDescent="0.2">
      <c r="A844" s="36" t="s">
        <v>674</v>
      </c>
      <c r="B844" s="9"/>
      <c r="C844" s="9"/>
      <c r="D844" s="9"/>
      <c r="E844" s="9"/>
      <c r="F844" s="9"/>
      <c r="G844" s="9"/>
      <c r="H844" s="9"/>
      <c r="I844" s="533">
        <f>I768+I784+I790+I797+I811+I821+I829+I836+I842</f>
        <v>0</v>
      </c>
      <c r="J844" s="533"/>
      <c r="K844" s="295"/>
    </row>
    <row r="845" spans="1:11" x14ac:dyDescent="0.2">
      <c r="A845" s="36"/>
      <c r="B845" s="9"/>
      <c r="C845" s="9"/>
      <c r="D845" s="9"/>
      <c r="E845" s="9"/>
      <c r="F845" s="9"/>
      <c r="G845" s="9"/>
      <c r="H845" s="9"/>
      <c r="I845" s="50"/>
      <c r="J845" s="50"/>
      <c r="K845" s="295"/>
    </row>
    <row r="846" spans="1:11" x14ac:dyDescent="0.2">
      <c r="A846" s="36" t="s">
        <v>10</v>
      </c>
      <c r="B846" s="9"/>
      <c r="C846" s="9"/>
      <c r="D846" s="9"/>
      <c r="E846" s="9"/>
      <c r="F846" s="9"/>
      <c r="G846" s="9"/>
      <c r="H846" s="9"/>
      <c r="I846" s="9"/>
      <c r="J846" s="9"/>
      <c r="K846" s="295"/>
    </row>
    <row r="847" spans="1:11" x14ac:dyDescent="0.2">
      <c r="A847" s="441" t="s">
        <v>1060</v>
      </c>
      <c r="B847" s="441"/>
      <c r="C847" s="441"/>
      <c r="D847" s="441"/>
      <c r="E847" s="441"/>
      <c r="F847" s="441"/>
      <c r="G847" s="441"/>
      <c r="H847" s="441"/>
      <c r="I847" s="441"/>
      <c r="J847" s="441"/>
      <c r="K847" s="295"/>
    </row>
    <row r="848" spans="1:11" x14ac:dyDescent="0.2">
      <c r="A848" s="441" t="s">
        <v>1061</v>
      </c>
      <c r="B848" s="441"/>
      <c r="C848" s="441"/>
      <c r="D848" s="441"/>
      <c r="E848" s="441"/>
      <c r="F848" s="441"/>
      <c r="G848" s="441"/>
      <c r="H848" s="441"/>
      <c r="I848" s="441"/>
      <c r="J848" s="441"/>
      <c r="K848" s="295"/>
    </row>
    <row r="849" spans="1:12" x14ac:dyDescent="0.2">
      <c r="A849" s="441" t="s">
        <v>88</v>
      </c>
      <c r="B849" s="441"/>
      <c r="C849" s="441"/>
      <c r="D849" s="441"/>
      <c r="E849" s="441"/>
      <c r="F849" s="441"/>
      <c r="G849" s="441"/>
      <c r="H849" s="441"/>
      <c r="I849" s="441"/>
      <c r="J849" s="441"/>
      <c r="K849" s="295"/>
    </row>
    <row r="850" spans="1:12" x14ac:dyDescent="0.2">
      <c r="A850" s="26"/>
      <c r="B850" s="9"/>
      <c r="C850" s="9"/>
      <c r="D850" s="446" t="str">
        <f>IF($B$229="","",$B$229)</f>
        <v/>
      </c>
      <c r="E850" s="446"/>
      <c r="F850" s="446"/>
      <c r="G850" s="446"/>
      <c r="H850" s="9"/>
      <c r="I850" s="27"/>
      <c r="J850" s="9"/>
      <c r="K850" s="295"/>
    </row>
    <row r="851" spans="1:12" x14ac:dyDescent="0.2">
      <c r="A851" s="9"/>
      <c r="B851" s="9"/>
      <c r="C851" s="9"/>
      <c r="D851" s="443" t="s">
        <v>1143</v>
      </c>
      <c r="E851" s="443"/>
      <c r="F851" s="443"/>
      <c r="G851" s="443"/>
      <c r="H851" s="9"/>
      <c r="I851" s="9"/>
      <c r="J851" s="9"/>
      <c r="K851" s="295"/>
    </row>
    <row r="852" spans="1:12" x14ac:dyDescent="0.2">
      <c r="A852" s="443" t="s">
        <v>675</v>
      </c>
      <c r="B852" s="443"/>
      <c r="C852" s="443"/>
      <c r="D852" s="443"/>
      <c r="E852" s="443"/>
      <c r="F852" s="443"/>
      <c r="G852" s="443"/>
      <c r="H852" s="443"/>
      <c r="I852" s="443"/>
      <c r="J852" s="443"/>
      <c r="K852" s="295"/>
    </row>
    <row r="853" spans="1:12" x14ac:dyDescent="0.2">
      <c r="A853" s="9"/>
      <c r="B853" s="9"/>
      <c r="C853" s="9"/>
      <c r="D853" s="9"/>
      <c r="E853" s="9"/>
      <c r="F853" s="9"/>
      <c r="G853" s="9"/>
      <c r="H853" s="9"/>
      <c r="I853" s="9"/>
      <c r="J853" s="9"/>
      <c r="K853" s="295"/>
    </row>
    <row r="854" spans="1:12" x14ac:dyDescent="0.2">
      <c r="A854" s="36" t="s">
        <v>676</v>
      </c>
      <c r="B854" s="9"/>
      <c r="C854" s="9"/>
      <c r="D854" s="9"/>
      <c r="E854" s="9"/>
      <c r="F854" s="9"/>
      <c r="G854" s="9"/>
      <c r="H854" s="9"/>
      <c r="I854" s="9"/>
      <c r="J854" s="9"/>
      <c r="K854" s="295"/>
    </row>
    <row r="855" spans="1:12" x14ac:dyDescent="0.2">
      <c r="A855" s="43" t="s">
        <v>7</v>
      </c>
      <c r="B855" s="29"/>
      <c r="C855" s="29"/>
      <c r="D855" s="29"/>
      <c r="E855" s="450" t="s">
        <v>677</v>
      </c>
      <c r="F855" s="450"/>
      <c r="G855" s="450" t="s">
        <v>678</v>
      </c>
      <c r="H855" s="450"/>
      <c r="I855" s="450"/>
      <c r="J855" s="450"/>
      <c r="K855" s="295"/>
    </row>
    <row r="856" spans="1:12" x14ac:dyDescent="0.2">
      <c r="A856" s="437"/>
      <c r="B856" s="437"/>
      <c r="C856" s="437"/>
      <c r="D856" s="654"/>
      <c r="E856" s="670"/>
      <c r="F856" s="671"/>
      <c r="G856" s="437"/>
      <c r="H856" s="437"/>
      <c r="I856" s="437"/>
      <c r="J856" s="437"/>
      <c r="K856" s="295"/>
    </row>
    <row r="857" spans="1:12" x14ac:dyDescent="0.2">
      <c r="A857" s="452"/>
      <c r="B857" s="452"/>
      <c r="C857" s="452"/>
      <c r="D857" s="613"/>
      <c r="E857" s="568"/>
      <c r="F857" s="569"/>
      <c r="G857" s="437"/>
      <c r="H857" s="437"/>
      <c r="I857" s="437"/>
      <c r="J857" s="437"/>
      <c r="K857" s="295"/>
      <c r="L857" s="23" t="s">
        <v>227</v>
      </c>
    </row>
    <row r="858" spans="1:12" x14ac:dyDescent="0.2">
      <c r="A858" s="452"/>
      <c r="B858" s="452"/>
      <c r="C858" s="452"/>
      <c r="D858" s="613"/>
      <c r="E858" s="568"/>
      <c r="F858" s="569"/>
      <c r="G858" s="437"/>
      <c r="H858" s="437"/>
      <c r="I858" s="437"/>
      <c r="J858" s="437"/>
      <c r="K858" s="295"/>
      <c r="L858" s="23" t="s">
        <v>226</v>
      </c>
    </row>
    <row r="859" spans="1:12" x14ac:dyDescent="0.2">
      <c r="A859" s="452"/>
      <c r="B859" s="452"/>
      <c r="C859" s="452"/>
      <c r="D859" s="613"/>
      <c r="E859" s="568"/>
      <c r="F859" s="569"/>
      <c r="G859" s="437"/>
      <c r="H859" s="437"/>
      <c r="I859" s="437"/>
      <c r="J859" s="437"/>
      <c r="K859" s="295"/>
    </row>
    <row r="860" spans="1:12" x14ac:dyDescent="0.2">
      <c r="A860" s="452"/>
      <c r="B860" s="452"/>
      <c r="C860" s="452"/>
      <c r="D860" s="613"/>
      <c r="E860" s="568"/>
      <c r="F860" s="569"/>
      <c r="G860" s="437"/>
      <c r="H860" s="437"/>
      <c r="I860" s="437"/>
      <c r="J860" s="437"/>
      <c r="K860" s="295"/>
    </row>
    <row r="861" spans="1:12" ht="13.15" customHeight="1" x14ac:dyDescent="0.2">
      <c r="A861" s="9" t="s">
        <v>679</v>
      </c>
      <c r="B861" s="9"/>
      <c r="C861" s="9"/>
      <c r="D861" s="9"/>
      <c r="E861" s="628">
        <f>SUM(E856:F860)</f>
        <v>0</v>
      </c>
      <c r="F861" s="629"/>
      <c r="G861" s="9"/>
      <c r="H861" s="9"/>
      <c r="I861" s="9"/>
      <c r="J861" s="9"/>
      <c r="K861" s="295"/>
    </row>
    <row r="862" spans="1:12" x14ac:dyDescent="0.2">
      <c r="A862" s="23" t="s">
        <v>254</v>
      </c>
      <c r="G862" s="138"/>
      <c r="H862" s="23" t="s">
        <v>930</v>
      </c>
      <c r="K862" s="295"/>
    </row>
    <row r="863" spans="1:12" x14ac:dyDescent="0.2">
      <c r="A863" s="1"/>
      <c r="B863" s="1"/>
      <c r="C863" s="1"/>
      <c r="D863" s="1"/>
      <c r="E863" s="1"/>
      <c r="F863" s="1"/>
      <c r="G863" s="1"/>
      <c r="H863" s="1"/>
      <c r="I863" s="630"/>
      <c r="J863" s="630"/>
      <c r="K863" s="295"/>
    </row>
    <row r="864" spans="1:12" x14ac:dyDescent="0.2">
      <c r="A864" s="36" t="s">
        <v>700</v>
      </c>
      <c r="B864" s="9"/>
      <c r="C864" s="9"/>
      <c r="D864" s="9"/>
      <c r="E864" s="9"/>
      <c r="F864" s="9"/>
      <c r="G864" s="9"/>
      <c r="H864" s="9"/>
      <c r="I864" s="9"/>
      <c r="J864" s="9"/>
      <c r="K864" s="295"/>
    </row>
    <row r="865" spans="1:11" x14ac:dyDescent="0.2">
      <c r="A865" s="160" t="s">
        <v>698</v>
      </c>
      <c r="B865" s="160"/>
      <c r="C865" s="160"/>
      <c r="D865" s="160"/>
      <c r="E865" s="450" t="s">
        <v>705</v>
      </c>
      <c r="F865" s="450"/>
      <c r="G865" s="450" t="s">
        <v>699</v>
      </c>
      <c r="H865" s="450"/>
      <c r="I865" s="450"/>
      <c r="J865" s="450"/>
      <c r="K865" s="295"/>
    </row>
    <row r="866" spans="1:11" x14ac:dyDescent="0.2">
      <c r="A866" s="432"/>
      <c r="B866" s="432"/>
      <c r="C866" s="432"/>
      <c r="D866" s="432"/>
      <c r="E866" s="531"/>
      <c r="F866" s="531"/>
      <c r="G866" s="432"/>
      <c r="H866" s="432"/>
      <c r="I866" s="432"/>
      <c r="J866" s="432"/>
      <c r="K866" s="295"/>
    </row>
    <row r="867" spans="1:11" x14ac:dyDescent="0.2">
      <c r="A867" s="451"/>
      <c r="B867" s="451"/>
      <c r="C867" s="451"/>
      <c r="D867" s="451"/>
      <c r="E867" s="532"/>
      <c r="F867" s="532"/>
      <c r="G867" s="432"/>
      <c r="H867" s="432"/>
      <c r="I867" s="432"/>
      <c r="J867" s="432"/>
      <c r="K867" s="295"/>
    </row>
    <row r="868" spans="1:11" x14ac:dyDescent="0.2">
      <c r="A868" s="451"/>
      <c r="B868" s="451"/>
      <c r="C868" s="451"/>
      <c r="D868" s="451"/>
      <c r="E868" s="117"/>
      <c r="F868" s="117"/>
      <c r="G868" s="530"/>
      <c r="H868" s="432"/>
      <c r="I868" s="432"/>
      <c r="J868" s="432"/>
      <c r="K868" s="295"/>
    </row>
    <row r="869" spans="1:11" x14ac:dyDescent="0.2">
      <c r="A869" s="51"/>
      <c r="B869" s="51"/>
      <c r="C869" s="51"/>
      <c r="D869" s="51"/>
      <c r="E869" s="52"/>
      <c r="F869" s="52"/>
      <c r="G869" s="51"/>
      <c r="H869" s="51"/>
      <c r="I869" s="51"/>
      <c r="J869" s="51"/>
      <c r="K869" s="295"/>
    </row>
    <row r="870" spans="1:11" x14ac:dyDescent="0.2">
      <c r="A870" s="432"/>
      <c r="B870" s="432"/>
      <c r="C870" s="432"/>
      <c r="D870" s="432"/>
      <c r="E870" s="531"/>
      <c r="F870" s="531"/>
      <c r="G870" s="432"/>
      <c r="H870" s="432"/>
      <c r="I870" s="432"/>
      <c r="J870" s="432"/>
      <c r="K870" s="295"/>
    </row>
    <row r="871" spans="1:11" x14ac:dyDescent="0.2">
      <c r="A871" s="451"/>
      <c r="B871" s="451"/>
      <c r="C871" s="451"/>
      <c r="D871" s="451"/>
      <c r="E871" s="532"/>
      <c r="F871" s="532"/>
      <c r="G871" s="432"/>
      <c r="H871" s="432"/>
      <c r="I871" s="432"/>
      <c r="J871" s="432"/>
      <c r="K871" s="295"/>
    </row>
    <row r="872" spans="1:11" x14ac:dyDescent="0.2">
      <c r="A872" s="451"/>
      <c r="B872" s="451"/>
      <c r="C872" s="451"/>
      <c r="D872" s="451"/>
      <c r="E872" s="117"/>
      <c r="F872" s="117"/>
      <c r="G872" s="530"/>
      <c r="H872" s="432"/>
      <c r="I872" s="432"/>
      <c r="J872" s="432"/>
      <c r="K872" s="295"/>
    </row>
    <row r="873" spans="1:11" x14ac:dyDescent="0.2">
      <c r="A873" s="9"/>
      <c r="B873" s="9"/>
      <c r="C873" s="9"/>
      <c r="D873" s="9"/>
      <c r="E873" s="9"/>
      <c r="F873" s="9"/>
      <c r="G873" s="9"/>
      <c r="H873" s="9"/>
      <c r="I873" s="9"/>
      <c r="J873" s="9"/>
      <c r="K873" s="295"/>
    </row>
    <row r="874" spans="1:11" x14ac:dyDescent="0.2">
      <c r="A874" s="432"/>
      <c r="B874" s="432"/>
      <c r="C874" s="432"/>
      <c r="D874" s="432"/>
      <c r="E874" s="531"/>
      <c r="F874" s="531"/>
      <c r="G874" s="432"/>
      <c r="H874" s="432"/>
      <c r="I874" s="432"/>
      <c r="J874" s="432"/>
      <c r="K874" s="295"/>
    </row>
    <row r="875" spans="1:11" x14ac:dyDescent="0.2">
      <c r="A875" s="451"/>
      <c r="B875" s="451"/>
      <c r="C875" s="451"/>
      <c r="D875" s="451"/>
      <c r="E875" s="532"/>
      <c r="F875" s="532"/>
      <c r="G875" s="432"/>
      <c r="H875" s="432"/>
      <c r="I875" s="432"/>
      <c r="J875" s="432"/>
      <c r="K875" s="295"/>
    </row>
    <row r="876" spans="1:11" x14ac:dyDescent="0.2">
      <c r="A876" s="451"/>
      <c r="B876" s="451"/>
      <c r="C876" s="451"/>
      <c r="D876" s="451"/>
      <c r="E876" s="117"/>
      <c r="F876" s="117"/>
      <c r="G876" s="530"/>
      <c r="H876" s="432"/>
      <c r="I876" s="432"/>
      <c r="J876" s="432"/>
      <c r="K876" s="295"/>
    </row>
    <row r="877" spans="1:11" x14ac:dyDescent="0.2">
      <c r="A877" s="53"/>
      <c r="B877" s="53"/>
      <c r="C877" s="53"/>
      <c r="D877" s="53"/>
      <c r="E877" s="52"/>
      <c r="F877" s="52"/>
      <c r="G877" s="53"/>
      <c r="H877" s="53"/>
      <c r="I877" s="53"/>
      <c r="J877" s="53"/>
      <c r="K877" s="295"/>
    </row>
    <row r="878" spans="1:11" x14ac:dyDescent="0.2">
      <c r="A878" s="36" t="s">
        <v>703</v>
      </c>
      <c r="B878" s="9"/>
      <c r="C878" s="9"/>
      <c r="D878" s="9"/>
      <c r="E878" s="9"/>
      <c r="F878" s="9"/>
      <c r="G878" s="9"/>
      <c r="H878" s="9"/>
      <c r="I878" s="9"/>
      <c r="J878" s="9"/>
      <c r="K878" s="295"/>
    </row>
    <row r="879" spans="1:11" x14ac:dyDescent="0.2">
      <c r="A879" s="160" t="s">
        <v>698</v>
      </c>
      <c r="B879" s="160"/>
      <c r="C879" s="160"/>
      <c r="D879" s="160"/>
      <c r="E879" s="450" t="s">
        <v>705</v>
      </c>
      <c r="F879" s="450"/>
      <c r="G879" s="450" t="s">
        <v>699</v>
      </c>
      <c r="H879" s="450"/>
      <c r="I879" s="450"/>
      <c r="J879" s="450"/>
      <c r="K879" s="295"/>
    </row>
    <row r="880" spans="1:11" x14ac:dyDescent="0.2">
      <c r="A880" s="432"/>
      <c r="B880" s="432"/>
      <c r="C880" s="432"/>
      <c r="D880" s="432"/>
      <c r="E880" s="531"/>
      <c r="F880" s="531"/>
      <c r="G880" s="432"/>
      <c r="H880" s="432"/>
      <c r="I880" s="432"/>
      <c r="J880" s="432"/>
      <c r="K880" s="295"/>
    </row>
    <row r="881" spans="1:12" x14ac:dyDescent="0.2">
      <c r="A881" s="451"/>
      <c r="B881" s="451"/>
      <c r="C881" s="451"/>
      <c r="D881" s="451"/>
      <c r="E881" s="580"/>
      <c r="F881" s="580"/>
      <c r="G881" s="432"/>
      <c r="H881" s="432"/>
      <c r="I881" s="432"/>
      <c r="J881" s="432"/>
      <c r="K881" s="295"/>
    </row>
    <row r="882" spans="1:12" x14ac:dyDescent="0.2">
      <c r="A882" s="434"/>
      <c r="B882" s="434"/>
      <c r="C882" s="434"/>
      <c r="D882" s="434"/>
      <c r="E882" s="117"/>
      <c r="F882" s="117"/>
      <c r="G882" s="530"/>
      <c r="H882" s="432"/>
      <c r="I882" s="432"/>
      <c r="J882" s="432"/>
      <c r="K882" s="295"/>
    </row>
    <row r="883" spans="1:12" x14ac:dyDescent="0.2">
      <c r="A883" s="1"/>
      <c r="B883" s="1"/>
      <c r="C883" s="1"/>
      <c r="D883" s="1"/>
      <c r="E883" s="1"/>
      <c r="F883" s="1"/>
      <c r="G883" s="1"/>
      <c r="H883" s="1"/>
      <c r="I883" s="1"/>
      <c r="J883" s="1"/>
      <c r="K883" s="295"/>
    </row>
    <row r="884" spans="1:12" x14ac:dyDescent="0.2">
      <c r="A884" s="36" t="s">
        <v>704</v>
      </c>
      <c r="B884" s="9"/>
      <c r="C884" s="9"/>
      <c r="D884" s="9"/>
      <c r="E884" s="9"/>
      <c r="F884" s="9"/>
      <c r="G884" s="9"/>
      <c r="H884" s="9"/>
      <c r="I884" s="9"/>
      <c r="J884" s="9"/>
      <c r="K884" s="295"/>
    </row>
    <row r="885" spans="1:12" x14ac:dyDescent="0.2">
      <c r="A885" s="160" t="s">
        <v>1039</v>
      </c>
      <c r="B885" s="160"/>
      <c r="C885" s="160"/>
      <c r="D885" s="160"/>
      <c r="E885" s="450" t="s">
        <v>705</v>
      </c>
      <c r="F885" s="450"/>
      <c r="G885" s="450" t="s">
        <v>699</v>
      </c>
      <c r="H885" s="450"/>
      <c r="I885" s="450"/>
      <c r="J885" s="450"/>
      <c r="K885" s="295"/>
    </row>
    <row r="886" spans="1:12" x14ac:dyDescent="0.2">
      <c r="A886" s="432"/>
      <c r="B886" s="432"/>
      <c r="C886" s="432"/>
      <c r="D886" s="432"/>
      <c r="E886" s="531"/>
      <c r="F886" s="531"/>
      <c r="G886" s="432"/>
      <c r="H886" s="432"/>
      <c r="I886" s="432"/>
      <c r="J886" s="432"/>
      <c r="K886" s="295"/>
    </row>
    <row r="887" spans="1:12" x14ac:dyDescent="0.2">
      <c r="A887" s="451"/>
      <c r="B887" s="451"/>
      <c r="C887" s="451"/>
      <c r="D887" s="451"/>
      <c r="E887" s="532"/>
      <c r="F887" s="532"/>
      <c r="G887" s="432"/>
      <c r="H887" s="432"/>
      <c r="I887" s="432"/>
      <c r="J887" s="432"/>
      <c r="K887" s="295"/>
    </row>
    <row r="888" spans="1:12" x14ac:dyDescent="0.2">
      <c r="A888" s="434"/>
      <c r="B888" s="434"/>
      <c r="C888" s="434"/>
      <c r="D888" s="434"/>
      <c r="E888" s="117"/>
      <c r="F888" s="117"/>
      <c r="G888" s="530"/>
      <c r="H888" s="432"/>
      <c r="I888" s="432"/>
      <c r="J888" s="432"/>
      <c r="K888" s="295"/>
    </row>
    <row r="889" spans="1:12" ht="12.75" customHeight="1" x14ac:dyDescent="0.2">
      <c r="A889" s="1"/>
      <c r="B889" s="1"/>
      <c r="C889" s="1"/>
      <c r="D889" s="1"/>
      <c r="E889" s="1"/>
      <c r="F889" s="1"/>
      <c r="G889" s="1"/>
      <c r="H889" s="1"/>
      <c r="I889" s="1"/>
      <c r="J889" s="1"/>
      <c r="K889" s="295"/>
    </row>
    <row r="890" spans="1:12" x14ac:dyDescent="0.2">
      <c r="A890" s="432"/>
      <c r="B890" s="432"/>
      <c r="C890" s="432"/>
      <c r="D890" s="432"/>
      <c r="E890" s="531"/>
      <c r="F890" s="531"/>
      <c r="G890" s="432"/>
      <c r="H890" s="432"/>
      <c r="I890" s="432"/>
      <c r="J890" s="432"/>
      <c r="K890" s="295"/>
    </row>
    <row r="891" spans="1:12" x14ac:dyDescent="0.2">
      <c r="A891" s="451"/>
      <c r="B891" s="451"/>
      <c r="C891" s="451"/>
      <c r="D891" s="451"/>
      <c r="E891" s="532"/>
      <c r="F891" s="532"/>
      <c r="G891" s="432"/>
      <c r="H891" s="432"/>
      <c r="I891" s="432"/>
      <c r="J891" s="432"/>
      <c r="K891" s="295"/>
      <c r="L891" s="23" t="s">
        <v>389</v>
      </c>
    </row>
    <row r="892" spans="1:12" x14ac:dyDescent="0.2">
      <c r="A892" s="434"/>
      <c r="B892" s="434"/>
      <c r="C892" s="434"/>
      <c r="D892" s="434"/>
      <c r="E892" s="117"/>
      <c r="F892" s="117"/>
      <c r="G892" s="530"/>
      <c r="H892" s="432"/>
      <c r="I892" s="432"/>
      <c r="J892" s="432"/>
      <c r="K892" s="295"/>
      <c r="L892" s="23" t="s">
        <v>11</v>
      </c>
    </row>
    <row r="893" spans="1:12" x14ac:dyDescent="0.2">
      <c r="A893" s="1"/>
      <c r="B893" s="1"/>
      <c r="C893" s="1"/>
      <c r="D893" s="1"/>
      <c r="E893" s="1"/>
      <c r="F893" s="1"/>
      <c r="G893" s="1"/>
      <c r="H893" s="1"/>
      <c r="I893" s="1"/>
      <c r="J893" s="1"/>
      <c r="K893" s="295"/>
      <c r="L893" s="23" t="s">
        <v>12</v>
      </c>
    </row>
    <row r="894" spans="1:12" x14ac:dyDescent="0.2">
      <c r="A894" s="432"/>
      <c r="B894" s="432"/>
      <c r="C894" s="432"/>
      <c r="D894" s="432"/>
      <c r="E894" s="531"/>
      <c r="F894" s="531"/>
      <c r="G894" s="432"/>
      <c r="H894" s="432"/>
      <c r="I894" s="432"/>
      <c r="J894" s="432"/>
      <c r="K894" s="295"/>
      <c r="L894" s="23" t="s">
        <v>13</v>
      </c>
    </row>
    <row r="895" spans="1:12" x14ac:dyDescent="0.2">
      <c r="A895" s="451"/>
      <c r="B895" s="451"/>
      <c r="C895" s="451"/>
      <c r="D895" s="451"/>
      <c r="E895" s="532"/>
      <c r="F895" s="532"/>
      <c r="G895" s="432"/>
      <c r="H895" s="432"/>
      <c r="I895" s="432"/>
      <c r="J895" s="432"/>
      <c r="K895" s="295"/>
      <c r="L895" s="23" t="s">
        <v>14</v>
      </c>
    </row>
    <row r="896" spans="1:12" x14ac:dyDescent="0.2">
      <c r="A896" s="434"/>
      <c r="B896" s="434"/>
      <c r="C896" s="434"/>
      <c r="D896" s="434"/>
      <c r="E896" s="117"/>
      <c r="F896" s="117"/>
      <c r="G896" s="530"/>
      <c r="H896" s="432"/>
      <c r="I896" s="432"/>
      <c r="J896" s="432"/>
      <c r="K896" s="295"/>
    </row>
    <row r="897" spans="1:12" x14ac:dyDescent="0.2">
      <c r="A897" s="1"/>
      <c r="B897" s="1"/>
      <c r="C897" s="1"/>
      <c r="D897" s="1"/>
      <c r="E897" s="1"/>
      <c r="F897" s="1"/>
      <c r="G897" s="1"/>
      <c r="H897" s="1"/>
      <c r="I897" s="1"/>
      <c r="J897" s="1"/>
      <c r="K897" s="295"/>
    </row>
    <row r="898" spans="1:12" ht="12.75" customHeight="1" x14ac:dyDescent="0.2">
      <c r="A898" s="435" t="s">
        <v>8</v>
      </c>
      <c r="B898" s="435"/>
      <c r="C898" s="435"/>
      <c r="D898" s="435"/>
      <c r="E898" s="435"/>
      <c r="F898" s="435"/>
      <c r="G898" s="435"/>
      <c r="H898" s="435"/>
      <c r="I898" s="435"/>
      <c r="J898" s="435"/>
      <c r="K898" s="295"/>
    </row>
    <row r="899" spans="1:12" x14ac:dyDescent="0.2">
      <c r="A899" s="435"/>
      <c r="B899" s="435"/>
      <c r="C899" s="435"/>
      <c r="D899" s="435"/>
      <c r="E899" s="435"/>
      <c r="F899" s="435"/>
      <c r="G899" s="435"/>
      <c r="H899" s="435"/>
      <c r="I899" s="435"/>
      <c r="J899" s="435"/>
      <c r="K899" s="295"/>
    </row>
    <row r="900" spans="1:12" x14ac:dyDescent="0.2">
      <c r="A900" s="441" t="s">
        <v>1060</v>
      </c>
      <c r="B900" s="441"/>
      <c r="C900" s="441"/>
      <c r="D900" s="441"/>
      <c r="E900" s="441"/>
      <c r="F900" s="441"/>
      <c r="G900" s="441"/>
      <c r="H900" s="441"/>
      <c r="I900" s="441"/>
      <c r="J900" s="441"/>
      <c r="K900" s="295"/>
    </row>
    <row r="901" spans="1:12" x14ac:dyDescent="0.2">
      <c r="A901" s="441" t="s">
        <v>1061</v>
      </c>
      <c r="B901" s="441"/>
      <c r="C901" s="441"/>
      <c r="D901" s="441"/>
      <c r="E901" s="441"/>
      <c r="F901" s="441"/>
      <c r="G901" s="441"/>
      <c r="H901" s="441"/>
      <c r="I901" s="441"/>
      <c r="J901" s="441"/>
      <c r="K901" s="295"/>
    </row>
    <row r="902" spans="1:12" x14ac:dyDescent="0.2">
      <c r="A902" s="441" t="s">
        <v>88</v>
      </c>
      <c r="B902" s="441"/>
      <c r="C902" s="441"/>
      <c r="D902" s="441"/>
      <c r="E902" s="441"/>
      <c r="F902" s="441"/>
      <c r="G902" s="441"/>
      <c r="H902" s="441"/>
      <c r="I902" s="441"/>
      <c r="J902" s="441"/>
      <c r="K902" s="295"/>
    </row>
    <row r="903" spans="1:12" x14ac:dyDescent="0.2">
      <c r="A903" s="26"/>
      <c r="B903" s="9"/>
      <c r="C903" s="9"/>
      <c r="D903" s="446" t="str">
        <f>IF($B$229="","",$B$229)</f>
        <v/>
      </c>
      <c r="E903" s="446"/>
      <c r="F903" s="446"/>
      <c r="G903" s="446"/>
      <c r="H903" s="9"/>
      <c r="I903" s="27"/>
      <c r="J903" s="9"/>
      <c r="K903" s="295"/>
    </row>
    <row r="904" spans="1:12" x14ac:dyDescent="0.2">
      <c r="A904" s="9"/>
      <c r="B904" s="9"/>
      <c r="C904" s="9"/>
      <c r="D904" s="443" t="s">
        <v>1143</v>
      </c>
      <c r="E904" s="443"/>
      <c r="F904" s="443"/>
      <c r="G904" s="443"/>
      <c r="H904" s="9"/>
      <c r="I904" s="9"/>
      <c r="J904" s="9"/>
      <c r="K904" s="295"/>
      <c r="L904" s="23" t="s">
        <v>227</v>
      </c>
    </row>
    <row r="905" spans="1:12" x14ac:dyDescent="0.2">
      <c r="A905" s="443" t="s">
        <v>706</v>
      </c>
      <c r="B905" s="443"/>
      <c r="C905" s="443"/>
      <c r="D905" s="443"/>
      <c r="E905" s="443"/>
      <c r="F905" s="443"/>
      <c r="G905" s="443"/>
      <c r="H905" s="443"/>
      <c r="I905" s="443"/>
      <c r="J905" s="443"/>
      <c r="K905" s="295"/>
      <c r="L905" s="23" t="s">
        <v>226</v>
      </c>
    </row>
    <row r="906" spans="1:12" x14ac:dyDescent="0.2">
      <c r="A906" s="9"/>
      <c r="B906" s="9"/>
      <c r="C906" s="9"/>
      <c r="D906" s="9"/>
      <c r="E906" s="9"/>
      <c r="F906" s="9"/>
      <c r="G906" s="9"/>
      <c r="H906" s="9"/>
      <c r="I906" s="9"/>
      <c r="J906" s="9"/>
      <c r="K906" s="295"/>
    </row>
    <row r="907" spans="1:12" x14ac:dyDescent="0.2">
      <c r="A907" s="36" t="s">
        <v>1075</v>
      </c>
      <c r="B907" s="9"/>
      <c r="C907" s="9"/>
      <c r="D907" s="9"/>
      <c r="E907" s="9"/>
      <c r="F907" s="9"/>
      <c r="G907" s="9"/>
      <c r="H907" s="9"/>
      <c r="I907" s="9"/>
      <c r="J907" s="9"/>
      <c r="K907" s="295"/>
      <c r="L907" s="23" t="s">
        <v>389</v>
      </c>
    </row>
    <row r="908" spans="1:12" x14ac:dyDescent="0.2">
      <c r="A908" s="35" t="s">
        <v>690</v>
      </c>
      <c r="B908" s="9"/>
      <c r="C908" s="9"/>
      <c r="D908" s="9"/>
      <c r="E908" s="9"/>
      <c r="F908" s="9"/>
      <c r="G908" s="9"/>
      <c r="H908" s="9"/>
      <c r="I908" s="9"/>
      <c r="J908" s="9"/>
      <c r="K908" s="295"/>
      <c r="L908" s="23" t="s">
        <v>873</v>
      </c>
    </row>
    <row r="909" spans="1:12" x14ac:dyDescent="0.2">
      <c r="A909" s="615" t="s">
        <v>680</v>
      </c>
      <c r="B909" s="616"/>
      <c r="C909" s="617"/>
      <c r="D909" s="494" t="s">
        <v>1110</v>
      </c>
      <c r="E909" s="495"/>
      <c r="F909" s="492" t="s">
        <v>681</v>
      </c>
      <c r="G909" s="492" t="s">
        <v>682</v>
      </c>
      <c r="H909" s="492" t="s">
        <v>872</v>
      </c>
      <c r="I909" s="492" t="s">
        <v>835</v>
      </c>
      <c r="J909" s="492"/>
      <c r="K909" s="295"/>
      <c r="L909" s="23" t="s">
        <v>874</v>
      </c>
    </row>
    <row r="910" spans="1:12" x14ac:dyDescent="0.2">
      <c r="A910" s="618"/>
      <c r="B910" s="619"/>
      <c r="C910" s="620"/>
      <c r="D910" s="496"/>
      <c r="E910" s="497"/>
      <c r="F910" s="493"/>
      <c r="G910" s="493"/>
      <c r="H910" s="493"/>
      <c r="I910" s="493"/>
      <c r="J910" s="493"/>
      <c r="K910" s="295"/>
      <c r="L910" s="23" t="s">
        <v>875</v>
      </c>
    </row>
    <row r="911" spans="1:12" x14ac:dyDescent="0.2">
      <c r="A911" s="542"/>
      <c r="B911" s="451"/>
      <c r="C911" s="543"/>
      <c r="D911" s="463"/>
      <c r="E911" s="463"/>
      <c r="F911" s="149"/>
      <c r="G911" s="150"/>
      <c r="H911" s="151"/>
      <c r="I911" s="523"/>
      <c r="J911" s="523"/>
      <c r="K911" s="295"/>
      <c r="L911" s="23" t="s">
        <v>876</v>
      </c>
    </row>
    <row r="912" spans="1:12" x14ac:dyDescent="0.2">
      <c r="A912" s="542"/>
      <c r="B912" s="451"/>
      <c r="C912" s="543"/>
      <c r="D912" s="463"/>
      <c r="E912" s="463"/>
      <c r="F912" s="149"/>
      <c r="G912" s="150"/>
      <c r="H912" s="151"/>
      <c r="I912" s="523"/>
      <c r="J912" s="523"/>
      <c r="K912" s="295"/>
    </row>
    <row r="913" spans="1:12" x14ac:dyDescent="0.2">
      <c r="A913" s="633" t="str">
        <f>IF(E261="Developer Construction Loan","OWHLF Construction Loan",IF(E261="Grant","OWHLF Grant","OWHLF Homeowner Loan(s)"))</f>
        <v>OWHLF Homeowner Loan(s)</v>
      </c>
      <c r="B913" s="634"/>
      <c r="C913" s="635"/>
      <c r="D913" s="463"/>
      <c r="E913" s="463"/>
      <c r="F913" s="255">
        <f>IF(D1061&lt;0.35,0%,IF(D1061&lt;0.4,1%,IF(D1061&lt;0.45,1.5%,IF(D1061&lt;0.5,2%,IF(D1061&lt;0.55,2.5%,IF(D1061&lt;0.6,3%,5%))))))</f>
        <v>0.05</v>
      </c>
      <c r="G913" s="253">
        <f>IF(E261="Developer Construction Loan",E263,I263*12)</f>
        <v>0</v>
      </c>
      <c r="H913" s="254" t="str">
        <f>IF(E261="Developer Construction Loan","Deferred",IF(E261="Direct Loans to Homebuyers","Fully-Amort","Grant"))</f>
        <v>Grant</v>
      </c>
      <c r="I913" s="523"/>
      <c r="J913" s="523"/>
      <c r="K913" s="295"/>
      <c r="L913" s="23" t="s">
        <v>689</v>
      </c>
    </row>
    <row r="914" spans="1:12" x14ac:dyDescent="0.2">
      <c r="A914" s="464"/>
      <c r="B914" s="465"/>
      <c r="C914" s="110" t="s">
        <v>601</v>
      </c>
      <c r="D914" s="463"/>
      <c r="E914" s="463"/>
      <c r="F914" s="149"/>
      <c r="G914" s="150"/>
      <c r="H914" s="151"/>
      <c r="I914" s="523"/>
      <c r="J914" s="523"/>
      <c r="K914" s="295"/>
      <c r="L914" s="23" t="s">
        <v>602</v>
      </c>
    </row>
    <row r="915" spans="1:12" x14ac:dyDescent="0.2">
      <c r="A915" s="674" t="str">
        <f>IF(D913=0,"",IF(D913&gt;1000000,"&lt;&lt;REQUEST EXCEEDS ALLOCATION PLAN LIMIT&gt;&gt;",IF(D913&lt;=1000000,"REQUEST WITHIN LIMITS","")))</f>
        <v/>
      </c>
      <c r="B915" s="674"/>
      <c r="C915" s="674"/>
      <c r="D915" s="674"/>
      <c r="E915" s="674"/>
      <c r="F915" s="80"/>
      <c r="G915" s="80"/>
      <c r="H915" s="9"/>
      <c r="I915" s="9"/>
      <c r="J915" s="9"/>
      <c r="K915" s="295"/>
    </row>
    <row r="916" spans="1:12" x14ac:dyDescent="0.2">
      <c r="A916" s="35" t="s">
        <v>702</v>
      </c>
      <c r="B916" s="9"/>
      <c r="C916" s="9"/>
      <c r="D916" s="9"/>
      <c r="E916" s="9"/>
      <c r="F916" s="9"/>
      <c r="G916" s="33" t="s">
        <v>695</v>
      </c>
      <c r="H916" s="9"/>
      <c r="I916" s="9"/>
      <c r="J916" s="9"/>
      <c r="K916" s="295"/>
      <c r="L916" s="23" t="s">
        <v>729</v>
      </c>
    </row>
    <row r="917" spans="1:12" x14ac:dyDescent="0.2">
      <c r="A917" s="437"/>
      <c r="B917" s="437"/>
      <c r="C917" s="437"/>
      <c r="D917" s="453"/>
      <c r="E917" s="453"/>
      <c r="F917" s="9"/>
      <c r="G917" s="498"/>
      <c r="H917" s="499"/>
      <c r="I917" s="499"/>
      <c r="J917" s="500"/>
      <c r="K917" s="295"/>
      <c r="L917" s="23" t="s">
        <v>730</v>
      </c>
    </row>
    <row r="918" spans="1:12" x14ac:dyDescent="0.2">
      <c r="A918" s="35" t="s">
        <v>691</v>
      </c>
      <c r="B918" s="9"/>
      <c r="C918" s="9"/>
      <c r="D918" s="9"/>
      <c r="E918" s="9"/>
      <c r="F918" s="9"/>
      <c r="G918" s="501"/>
      <c r="H918" s="502"/>
      <c r="I918" s="502"/>
      <c r="J918" s="503"/>
      <c r="K918" s="295"/>
      <c r="L918" s="23" t="s">
        <v>731</v>
      </c>
    </row>
    <row r="919" spans="1:12" x14ac:dyDescent="0.2">
      <c r="A919" s="466" t="s">
        <v>687</v>
      </c>
      <c r="B919" s="466"/>
      <c r="C919" s="466"/>
      <c r="D919" s="453"/>
      <c r="E919" s="453"/>
      <c r="F919" s="9"/>
      <c r="G919" s="501"/>
      <c r="H919" s="502"/>
      <c r="I919" s="502"/>
      <c r="J919" s="503"/>
      <c r="K919" s="295"/>
      <c r="L919" s="23" t="s">
        <v>701</v>
      </c>
    </row>
    <row r="920" spans="1:12" x14ac:dyDescent="0.2">
      <c r="A920" s="432"/>
      <c r="B920" s="432"/>
      <c r="C920" s="432"/>
      <c r="D920" s="453"/>
      <c r="E920" s="453"/>
      <c r="F920" s="9"/>
      <c r="G920" s="501"/>
      <c r="H920" s="502"/>
      <c r="I920" s="502"/>
      <c r="J920" s="503"/>
      <c r="K920" s="295"/>
    </row>
    <row r="921" spans="1:12" x14ac:dyDescent="0.2">
      <c r="A921" s="432"/>
      <c r="B921" s="432"/>
      <c r="C921" s="432"/>
      <c r="D921" s="453"/>
      <c r="E921" s="453"/>
      <c r="F921" s="9"/>
      <c r="G921" s="501"/>
      <c r="H921" s="502"/>
      <c r="I921" s="502"/>
      <c r="J921" s="503"/>
      <c r="K921" s="295"/>
    </row>
    <row r="922" spans="1:12" x14ac:dyDescent="0.2">
      <c r="A922" s="432"/>
      <c r="B922" s="432"/>
      <c r="C922" s="432"/>
      <c r="D922" s="486"/>
      <c r="E922" s="486"/>
      <c r="F922" s="9"/>
      <c r="G922" s="501"/>
      <c r="H922" s="502"/>
      <c r="I922" s="502"/>
      <c r="J922" s="503"/>
      <c r="K922" s="295"/>
    </row>
    <row r="923" spans="1:12" x14ac:dyDescent="0.2">
      <c r="A923" s="432"/>
      <c r="B923" s="432"/>
      <c r="C923" s="432"/>
      <c r="D923" s="486"/>
      <c r="E923" s="486"/>
      <c r="F923" s="9"/>
      <c r="G923" s="501"/>
      <c r="H923" s="502"/>
      <c r="I923" s="502"/>
      <c r="J923" s="503"/>
      <c r="K923" s="295"/>
      <c r="L923" s="23" t="s">
        <v>208</v>
      </c>
    </row>
    <row r="924" spans="1:12" x14ac:dyDescent="0.2">
      <c r="A924" s="35" t="s">
        <v>692</v>
      </c>
      <c r="B924" s="9"/>
      <c r="C924" s="9"/>
      <c r="D924" s="17"/>
      <c r="E924" s="17"/>
      <c r="F924" s="9"/>
      <c r="G924" s="501"/>
      <c r="H924" s="502"/>
      <c r="I924" s="502"/>
      <c r="J924" s="503"/>
      <c r="K924" s="295"/>
      <c r="L924" s="23" t="s">
        <v>737</v>
      </c>
    </row>
    <row r="925" spans="1:12" x14ac:dyDescent="0.2">
      <c r="A925" s="490" t="s">
        <v>693</v>
      </c>
      <c r="B925" s="490"/>
      <c r="C925" s="490"/>
      <c r="D925" s="453"/>
      <c r="E925" s="453"/>
      <c r="F925" s="9"/>
      <c r="G925" s="501"/>
      <c r="H925" s="502"/>
      <c r="I925" s="502"/>
      <c r="J925" s="503"/>
      <c r="K925" s="295"/>
      <c r="L925" s="23" t="s">
        <v>738</v>
      </c>
    </row>
    <row r="926" spans="1:12" x14ac:dyDescent="0.2">
      <c r="A926" s="491" t="s">
        <v>694</v>
      </c>
      <c r="B926" s="491"/>
      <c r="C926" s="491"/>
      <c r="D926" s="486"/>
      <c r="E926" s="486"/>
      <c r="F926" s="9"/>
      <c r="G926" s="501"/>
      <c r="H926" s="502"/>
      <c r="I926" s="502"/>
      <c r="J926" s="503"/>
      <c r="K926" s="295"/>
      <c r="L926" s="23" t="s">
        <v>731</v>
      </c>
    </row>
    <row r="927" spans="1:12" x14ac:dyDescent="0.2">
      <c r="A927" s="452"/>
      <c r="B927" s="452"/>
      <c r="C927" s="452"/>
      <c r="D927" s="486"/>
      <c r="E927" s="486"/>
      <c r="F927" s="9"/>
      <c r="G927" s="501"/>
      <c r="H927" s="502"/>
      <c r="I927" s="502"/>
      <c r="J927" s="503"/>
      <c r="K927" s="295"/>
      <c r="L927" s="23" t="s">
        <v>701</v>
      </c>
    </row>
    <row r="928" spans="1:12" x14ac:dyDescent="0.2">
      <c r="A928" s="129" t="s">
        <v>440</v>
      </c>
      <c r="B928" s="465"/>
      <c r="C928" s="465"/>
      <c r="D928" s="486"/>
      <c r="E928" s="486"/>
      <c r="F928" s="9"/>
      <c r="G928" s="501"/>
      <c r="H928" s="502"/>
      <c r="I928" s="502"/>
      <c r="J928" s="503"/>
      <c r="K928" s="295"/>
    </row>
    <row r="929" spans="1:12" x14ac:dyDescent="0.2">
      <c r="A929" s="9"/>
      <c r="B929" s="9"/>
      <c r="C929" s="9"/>
      <c r="D929" s="9"/>
      <c r="E929" s="9"/>
      <c r="F929" s="9"/>
      <c r="G929" s="504"/>
      <c r="H929" s="505"/>
      <c r="I929" s="505"/>
      <c r="J929" s="506"/>
      <c r="K929" s="295"/>
      <c r="L929" s="23" t="s">
        <v>132</v>
      </c>
    </row>
    <row r="930" spans="1:12" ht="13.5" thickBot="1" x14ac:dyDescent="0.25">
      <c r="A930" s="36" t="s">
        <v>696</v>
      </c>
      <c r="B930" s="9"/>
      <c r="C930" s="9"/>
      <c r="D930" s="9"/>
      <c r="E930" s="9"/>
      <c r="F930" s="9"/>
      <c r="G930" s="636">
        <f>SUM(D911:D914,D917,D919:D923,D925:D928)</f>
        <v>0</v>
      </c>
      <c r="H930" s="637"/>
      <c r="I930" s="9"/>
      <c r="J930" s="9"/>
      <c r="K930" s="295"/>
      <c r="L930" s="23" t="s">
        <v>131</v>
      </c>
    </row>
    <row r="931" spans="1:12" x14ac:dyDescent="0.2">
      <c r="A931" s="9" t="s">
        <v>697</v>
      </c>
      <c r="B931" s="9"/>
      <c r="C931" s="9"/>
      <c r="D931" s="9"/>
      <c r="E931" s="9"/>
      <c r="F931" s="9"/>
      <c r="G931" s="679">
        <f>G930-I844</f>
        <v>0</v>
      </c>
      <c r="H931" s="679"/>
      <c r="I931" s="9"/>
      <c r="J931" s="9"/>
      <c r="K931" s="295"/>
    </row>
    <row r="932" spans="1:12" x14ac:dyDescent="0.2">
      <c r="A932" s="441" t="str">
        <f>IF(G931&lt;0,"&lt;&lt;PROJECT IS UNDERFUNDED&gt;&gt;",IF(G931&gt;0,"&lt;&lt;PROJECT IS OVERFUNDED&gt;&gt;","PROJECT FULLY FUNDED"))</f>
        <v>PROJECT FULLY FUNDED</v>
      </c>
      <c r="B932" s="441"/>
      <c r="C932" s="441"/>
      <c r="D932" s="441"/>
      <c r="E932" s="441"/>
      <c r="F932" s="28"/>
      <c r="G932" s="28"/>
      <c r="H932" s="9"/>
      <c r="I932" s="9"/>
      <c r="J932" s="9"/>
      <c r="K932" s="295"/>
      <c r="L932" s="23" t="s">
        <v>749</v>
      </c>
    </row>
    <row r="933" spans="1:12" x14ac:dyDescent="0.2">
      <c r="A933" s="9"/>
      <c r="B933" s="9"/>
      <c r="C933" s="9"/>
      <c r="D933" s="9"/>
      <c r="E933" s="9"/>
      <c r="F933" s="9"/>
      <c r="G933" s="122"/>
      <c r="H933" s="122"/>
      <c r="I933" s="122"/>
      <c r="J933" s="122"/>
      <c r="K933" s="295"/>
      <c r="L933" s="23" t="s">
        <v>748</v>
      </c>
    </row>
    <row r="934" spans="1:12" x14ac:dyDescent="0.2">
      <c r="A934" s="443" t="s">
        <v>144</v>
      </c>
      <c r="B934" s="443"/>
      <c r="C934" s="443"/>
      <c r="D934" s="443"/>
      <c r="E934" s="443"/>
      <c r="F934" s="443"/>
      <c r="G934" s="443"/>
      <c r="H934" s="443"/>
      <c r="I934" s="443"/>
      <c r="J934" s="443"/>
      <c r="K934" s="295"/>
      <c r="L934" s="23" t="s">
        <v>750</v>
      </c>
    </row>
    <row r="935" spans="1:12" x14ac:dyDescent="0.2">
      <c r="A935" s="9"/>
      <c r="B935" s="9"/>
      <c r="C935" s="9"/>
      <c r="D935" s="9"/>
      <c r="E935" s="9"/>
      <c r="F935" s="9"/>
      <c r="G935" s="9"/>
      <c r="H935" s="9"/>
      <c r="I935" s="9"/>
      <c r="J935" s="9"/>
      <c r="K935" s="295"/>
      <c r="L935" s="23" t="s">
        <v>232</v>
      </c>
    </row>
    <row r="936" spans="1:12" x14ac:dyDescent="0.2">
      <c r="A936" s="467" t="str">
        <f>IF(A911="","",A911)</f>
        <v/>
      </c>
      <c r="B936" s="467"/>
      <c r="C936" s="467"/>
      <c r="D936" s="256" t="str">
        <f>IF(G911="","",G911)</f>
        <v/>
      </c>
      <c r="E936" s="257" t="s">
        <v>1108</v>
      </c>
      <c r="F936" s="351" t="str">
        <f>IF(F911="","",F911)</f>
        <v/>
      </c>
      <c r="G936" s="366" t="str">
        <f>IF(H911="","",H911)</f>
        <v/>
      </c>
      <c r="H936" s="365" t="s">
        <v>1100</v>
      </c>
      <c r="I936" s="614" t="str">
        <f>IF(G911=0,"$0.00",'Income Limits, Mortgage, Amort'!G39)</f>
        <v>$0.00</v>
      </c>
      <c r="J936" s="614"/>
      <c r="K936" s="295"/>
      <c r="L936" s="23" t="s">
        <v>1066</v>
      </c>
    </row>
    <row r="937" spans="1:12" x14ac:dyDescent="0.2">
      <c r="A937" s="467" t="str">
        <f>IF(A912="","",A912)</f>
        <v/>
      </c>
      <c r="B937" s="467"/>
      <c r="C937" s="467"/>
      <c r="D937" s="256" t="str">
        <f>IF(G912="","",G912)</f>
        <v/>
      </c>
      <c r="E937" s="257" t="s">
        <v>1108</v>
      </c>
      <c r="F937" s="351" t="str">
        <f>IF(F912="","",F912)</f>
        <v/>
      </c>
      <c r="G937" s="366" t="str">
        <f>IF(H912="","",H912)</f>
        <v/>
      </c>
      <c r="H937" s="365" t="s">
        <v>1100</v>
      </c>
      <c r="I937" s="614" t="str">
        <f>IF(G912=0,"$0.00",'Income Limits, Mortgage, Amort'!N39)</f>
        <v>$0.00</v>
      </c>
      <c r="J937" s="614"/>
      <c r="K937" s="295"/>
    </row>
    <row r="938" spans="1:12" x14ac:dyDescent="0.2">
      <c r="A938" s="467" t="str">
        <f>IF(A913="","",A913)</f>
        <v>OWHLF Homeowner Loan(s)</v>
      </c>
      <c r="B938" s="467"/>
      <c r="C938" s="467"/>
      <c r="D938" s="256">
        <f>IF(G913="","",G913)</f>
        <v>0</v>
      </c>
      <c r="E938" s="257" t="s">
        <v>1108</v>
      </c>
      <c r="F938" s="351">
        <f>IF(F913="","",F913)</f>
        <v>0.05</v>
      </c>
      <c r="G938" s="9" t="s">
        <v>1107</v>
      </c>
      <c r="H938" s="9"/>
      <c r="I938" s="677" t="str">
        <f>IF(A913="OWHLF Homeowner Loan(s)","Not Applicable",IF(A913="OWHLF Grant","Not Applicable",IF(A913="OWHLF Construction Loan",IF(D938=12,'Income Limits, Mortgage, Amort'!U54,IF(D938=24,'Income Limits, Mortgage, Amort'!U67)))))</f>
        <v>Not Applicable</v>
      </c>
      <c r="J938" s="678"/>
      <c r="K938" s="295"/>
    </row>
    <row r="939" spans="1:12" x14ac:dyDescent="0.2">
      <c r="A939" s="467" t="str">
        <f>IF(A914="","",A914)</f>
        <v/>
      </c>
      <c r="B939" s="467"/>
      <c r="C939" s="467"/>
      <c r="D939" s="487">
        <f>IF(D914="0","0",I939*12)</f>
        <v>0</v>
      </c>
      <c r="E939" s="487"/>
      <c r="F939" s="9"/>
      <c r="G939" s="9" t="s">
        <v>910</v>
      </c>
      <c r="H939" s="9"/>
      <c r="I939" s="614" t="str">
        <f>IF(G914=0,"$0.00",ROUND(-PMT(F914/12,G914,D914),2))</f>
        <v>$0.00</v>
      </c>
      <c r="J939" s="614"/>
      <c r="K939" s="295"/>
      <c r="L939" s="23" t="s">
        <v>389</v>
      </c>
    </row>
    <row r="940" spans="1:12" x14ac:dyDescent="0.2">
      <c r="A940" s="9" t="s">
        <v>912</v>
      </c>
      <c r="B940" s="9"/>
      <c r="C940" s="9"/>
      <c r="D940" s="487">
        <f>I940*12</f>
        <v>0</v>
      </c>
      <c r="E940" s="487"/>
      <c r="F940" s="9"/>
      <c r="G940" s="9" t="s">
        <v>911</v>
      </c>
      <c r="H940" s="9"/>
      <c r="I940" s="614">
        <f>I936+I937+I939</f>
        <v>0</v>
      </c>
      <c r="J940" s="614"/>
      <c r="K940" s="295"/>
      <c r="L940" s="23" t="s">
        <v>374</v>
      </c>
    </row>
    <row r="941" spans="1:12" x14ac:dyDescent="0.2">
      <c r="A941" s="9"/>
      <c r="B941" s="9"/>
      <c r="C941" s="9"/>
      <c r="D941" s="9"/>
      <c r="E941" s="34" t="s">
        <v>886</v>
      </c>
      <c r="F941" s="99" t="str">
        <f>IF(D913=0,"",I844/D913)</f>
        <v/>
      </c>
      <c r="G941" s="119"/>
      <c r="H941" s="30"/>
      <c r="I941" s="30"/>
      <c r="J941" s="30"/>
      <c r="K941" s="295"/>
      <c r="L941" s="23" t="s">
        <v>766</v>
      </c>
    </row>
    <row r="942" spans="1:12" x14ac:dyDescent="0.2">
      <c r="A942" s="9"/>
      <c r="B942" s="9"/>
      <c r="C942" s="9"/>
      <c r="D942" s="9"/>
      <c r="E942" s="34"/>
      <c r="F942" s="197"/>
      <c r="G942" s="44"/>
      <c r="H942" s="30"/>
      <c r="I942" s="30"/>
      <c r="J942" s="30"/>
      <c r="K942" s="295"/>
      <c r="L942" s="23" t="s">
        <v>767</v>
      </c>
    </row>
    <row r="943" spans="1:12" x14ac:dyDescent="0.2">
      <c r="A943" s="36" t="s">
        <v>145</v>
      </c>
      <c r="B943" s="9"/>
      <c r="C943" s="9"/>
      <c r="D943" s="9"/>
      <c r="E943" s="9"/>
      <c r="F943" s="20"/>
      <c r="G943" s="526" t="str">
        <f>IF(J948=12,"&lt;&lt;DAVIS-BACON APPLICABLE&gt;&gt;","DAVIS-BACON NOT APPLICABLE")</f>
        <v>DAVIS-BACON NOT APPLICABLE</v>
      </c>
      <c r="H943" s="441"/>
      <c r="I943" s="441"/>
      <c r="J943" s="441"/>
      <c r="K943" s="295"/>
      <c r="L943" s="23" t="s">
        <v>768</v>
      </c>
    </row>
    <row r="944" spans="1:12" x14ac:dyDescent="0.2">
      <c r="A944" s="9" t="s">
        <v>457</v>
      </c>
      <c r="B944" s="9"/>
      <c r="C944" s="82" t="str">
        <f>IF(E944="","",LOOKUP(E944,'Income Limits, Mortgage, Amort'!X3:Z31))</f>
        <v/>
      </c>
      <c r="D944" s="9" t="s">
        <v>458</v>
      </c>
      <c r="E944" s="521" t="str">
        <f>IF(B235="","",B235)</f>
        <v/>
      </c>
      <c r="F944" s="522"/>
      <c r="G944" s="529" t="str">
        <f>IF(I913="Federal HOME","Total OWHLF HOME-Assisted Units","Total State LIH-Assisted Units")</f>
        <v>Total State LIH-Assisted Units</v>
      </c>
      <c r="H944" s="529"/>
      <c r="I944" s="529"/>
      <c r="J944" s="529"/>
      <c r="K944" s="295"/>
      <c r="L944" s="23" t="s">
        <v>545</v>
      </c>
    </row>
    <row r="945" spans="1:11" x14ac:dyDescent="0.2">
      <c r="A945" s="79" t="str">
        <f>IF(I844=0,"",(D913/I844)*I394)</f>
        <v/>
      </c>
      <c r="B945" s="74" t="s">
        <v>143</v>
      </c>
      <c r="C945" s="77" t="str">
        <f>IF(F394="","",IF(F394="No",(((C1003*'Income Limits, Mortgage, Amort'!AC5)+(C1004*'Income Limits, Mortgage, Amort'!AC6)+(C1005*'Income Limits, Mortgage, Amort'!AC7)+(C1006*'Income Limits, Mortgage, Amort'!AC8))*C944/I394),IF(F394="Yes",(((C1003*'Income Limits, Mortgage, Amort'!AB5)+(C1004*'Income Limits, Mortgage, Amort'!AB6)+(C1005*'Income Limits, Mortgage, Amort'!AB7)+(C1006*'Income Limits, Mortgage, Amort'!AB8))*C944/I394))))</f>
        <v/>
      </c>
      <c r="D945" s="78" t="str">
        <f>IF(F394="","",IF(F394="No",D913/(((C1003*'Income Limits, Mortgage, Amort'!AC5)+(C1004*'Income Limits, Mortgage, Amort'!AC6)+(C1005*'Income Limits, Mortgage, Amort'!AC7)+(C1006*'Income Limits, Mortgage, Amort'!AC8))*C944/I394),IF(F394="Yes",D913/(((C1003*'Income Limits, Mortgage, Amort'!AB5)+(C1004*'Income Limits, Mortgage, Amort'!AB6)+(C1005*'Income Limits, Mortgage, Amort'!AB7)+(C1006*'Income Limits, Mortgage, Amort'!AB8))*C944/I394))))</f>
        <v/>
      </c>
      <c r="E945" s="74" t="s">
        <v>988</v>
      </c>
      <c r="F945" s="73"/>
      <c r="G945" s="9"/>
      <c r="H945" s="74"/>
      <c r="I945" s="75" t="s">
        <v>547</v>
      </c>
      <c r="J945" s="64" t="str">
        <f>IF(A945="","",ROUNDUP(IF(A945&gt;D945,A945,D945),0))</f>
        <v/>
      </c>
      <c r="K945" s="295"/>
    </row>
    <row r="946" spans="1:11" x14ac:dyDescent="0.2">
      <c r="A946" s="194"/>
      <c r="B946" s="74"/>
      <c r="C946" s="195"/>
      <c r="D946" s="196"/>
      <c r="E946" s="74"/>
      <c r="F946" s="73"/>
      <c r="G946" s="9"/>
      <c r="H946" s="74"/>
      <c r="I946" s="75"/>
      <c r="J946" s="83"/>
      <c r="K946" s="295"/>
    </row>
    <row r="947" spans="1:11" x14ac:dyDescent="0.2">
      <c r="A947" s="9" t="s">
        <v>597</v>
      </c>
      <c r="B947" s="9"/>
      <c r="C947" s="9"/>
      <c r="D947" s="626" t="str">
        <f>IF(I914="Federal HOME",IF(A914="","None",A914),"Not Applicable")</f>
        <v>Not Applicable</v>
      </c>
      <c r="E947" s="626"/>
      <c r="F947" s="626"/>
      <c r="G947" s="529" t="s">
        <v>600</v>
      </c>
      <c r="H947" s="529"/>
      <c r="I947" s="529"/>
      <c r="J947" s="529"/>
      <c r="K947" s="295"/>
    </row>
    <row r="948" spans="1:11" x14ac:dyDescent="0.2">
      <c r="A948" s="79" t="str">
        <f>IF(I914="Federal HOME",(D914/I844)*I394,"0")</f>
        <v>0</v>
      </c>
      <c r="B948" s="74" t="s">
        <v>143</v>
      </c>
      <c r="C948" s="77">
        <f>IF(I914="Federal HOME",IF(F394="No",(((C1003*'Income Limits, Mortgage, Amort'!AC5)+(C1004*'Income Limits, Mortgage, Amort'!AC6)+(C1005*'Income Limits, Mortgage, Amort'!AC7)+(C1006*'Income Limits, Mortgage, Amort'!AC8))*C944/I394),IF(F394="Yes",(((C1003*'Income Limits, Mortgage, Amort'!AB5)+(C1004*'Income Limits, Mortgage, Amort'!AB6)+(C1005*'Income Limits, Mortgage, Amort'!AB7)+(C1006*'Income Limits, Mortgage, Amort'!AB8))*C944/I394))),0)</f>
        <v>0</v>
      </c>
      <c r="D948" s="78" t="str">
        <f>IF(D947="Not Applicable","0.00",IF(F394="No",D914/(((C1003*'Income Limits, Mortgage, Amort'!AC5)+(C1004*'Income Limits, Mortgage, Amort'!AC6)+(C1005*'Income Limits, Mortgage, Amort'!AC7)+(C1006*'Income Limits, Mortgage, Amort'!AC8))*C944/I394),IF(F394="Yes",D913/(((C1003*'Income Limits, Mortgage, Amort'!AB5)+(C1004*'Income Limits, Mortgage, Amort'!AB6)+(C1005*'Income Limits, Mortgage, Amort'!AB7)+(C1006*'Income Limits, Mortgage, Amort'!AB8))*C944/I394))))</f>
        <v>0.00</v>
      </c>
      <c r="E948" s="74" t="s">
        <v>598</v>
      </c>
      <c r="F948" s="9"/>
      <c r="G948" s="75" t="s">
        <v>599</v>
      </c>
      <c r="H948" s="64">
        <f>ROUNDUP(IF(A948&gt;D948,A948,D948),0)</f>
        <v>0</v>
      </c>
      <c r="I948" s="75" t="s">
        <v>546</v>
      </c>
      <c r="J948" s="64">
        <f>IF(I913="Federal HOME",J945+H948,H948)</f>
        <v>0</v>
      </c>
      <c r="K948" s="295"/>
    </row>
    <row r="949" spans="1:11" x14ac:dyDescent="0.2">
      <c r="A949" s="9"/>
      <c r="B949" s="9"/>
      <c r="C949" s="9"/>
      <c r="D949" s="9"/>
      <c r="E949" s="9"/>
      <c r="F949" s="9"/>
      <c r="G949" s="9"/>
      <c r="H949" s="9"/>
      <c r="I949" s="9"/>
      <c r="J949" s="9"/>
      <c r="K949" s="295"/>
    </row>
    <row r="950" spans="1:11" x14ac:dyDescent="0.2">
      <c r="A950" s="198" t="s">
        <v>447</v>
      </c>
      <c r="B950" s="74"/>
      <c r="C950" s="195"/>
      <c r="D950" s="471">
        <f>IF(E1030&gt;1000000,1000000,E1030)</f>
        <v>0</v>
      </c>
      <c r="E950" s="472"/>
      <c r="F950" s="9"/>
      <c r="G950" s="9" t="s">
        <v>446</v>
      </c>
      <c r="H950" s="83"/>
      <c r="I950" s="519">
        <f>D913</f>
        <v>0</v>
      </c>
      <c r="J950" s="520"/>
      <c r="K950" s="295"/>
    </row>
    <row r="951" spans="1:11" x14ac:dyDescent="0.2">
      <c r="A951" s="468" t="str">
        <f>IF(I950&gt;D950,"&lt;&lt;REQUEST EXCEEDS ALLOWABLE SUBSIDY&gt;&gt;","REQUEST AT OR BELOW ALLOWABLE SUBSIDY")</f>
        <v>REQUEST AT OR BELOW ALLOWABLE SUBSIDY</v>
      </c>
      <c r="B951" s="468"/>
      <c r="C951" s="468"/>
      <c r="D951" s="468"/>
      <c r="E951" s="468"/>
      <c r="F951" s="468"/>
      <c r="G951" s="468"/>
      <c r="H951" s="468"/>
      <c r="I951" s="468"/>
      <c r="J951" s="468"/>
      <c r="K951" s="295"/>
    </row>
    <row r="952" spans="1:11" x14ac:dyDescent="0.2">
      <c r="A952" s="103"/>
      <c r="B952" s="103"/>
      <c r="C952" s="103"/>
      <c r="D952" s="103"/>
      <c r="E952" s="103"/>
      <c r="F952" s="103"/>
      <c r="G952" s="103"/>
      <c r="H952" s="103"/>
      <c r="I952" s="103"/>
      <c r="J952" s="103"/>
      <c r="K952" s="295"/>
    </row>
    <row r="953" spans="1:11" x14ac:dyDescent="0.2">
      <c r="A953" s="475" t="s">
        <v>1060</v>
      </c>
      <c r="B953" s="475"/>
      <c r="C953" s="475"/>
      <c r="D953" s="475"/>
      <c r="E953" s="475"/>
      <c r="F953" s="475"/>
      <c r="G953" s="475"/>
      <c r="H953" s="475"/>
      <c r="I953" s="475"/>
      <c r="J953" s="475"/>
      <c r="K953" s="295"/>
    </row>
    <row r="954" spans="1:11" x14ac:dyDescent="0.2">
      <c r="A954" s="441" t="s">
        <v>1061</v>
      </c>
      <c r="B954" s="441"/>
      <c r="C954" s="441"/>
      <c r="D954" s="441"/>
      <c r="E954" s="441"/>
      <c r="F954" s="441"/>
      <c r="G954" s="441"/>
      <c r="H954" s="441"/>
      <c r="I954" s="441"/>
      <c r="J954" s="441"/>
      <c r="K954" s="295"/>
    </row>
    <row r="955" spans="1:11" x14ac:dyDescent="0.2">
      <c r="A955" s="441" t="s">
        <v>88</v>
      </c>
      <c r="B955" s="441"/>
      <c r="C955" s="441"/>
      <c r="D955" s="441"/>
      <c r="E955" s="441"/>
      <c r="F955" s="441"/>
      <c r="G955" s="441"/>
      <c r="H955" s="441"/>
      <c r="I955" s="441"/>
      <c r="J955" s="441"/>
      <c r="K955" s="295"/>
    </row>
    <row r="956" spans="1:11" x14ac:dyDescent="0.2">
      <c r="A956" s="26"/>
      <c r="B956" s="9"/>
      <c r="C956" s="9"/>
      <c r="D956" s="446" t="str">
        <f>IF($B$229="","",$B$229)</f>
        <v/>
      </c>
      <c r="E956" s="446"/>
      <c r="F956" s="446"/>
      <c r="G956" s="446"/>
      <c r="H956" s="9"/>
      <c r="I956" s="27"/>
      <c r="J956" s="9"/>
      <c r="K956" s="295"/>
    </row>
    <row r="957" spans="1:11" x14ac:dyDescent="0.2">
      <c r="A957" s="9"/>
      <c r="B957" s="9"/>
      <c r="C957" s="9"/>
      <c r="D957" s="443" t="s">
        <v>1143</v>
      </c>
      <c r="E957" s="443"/>
      <c r="F957" s="443"/>
      <c r="G957" s="443"/>
      <c r="H957" s="9"/>
      <c r="I957" s="9"/>
      <c r="J957" s="9"/>
      <c r="K957" s="295"/>
    </row>
    <row r="958" spans="1:11" x14ac:dyDescent="0.2">
      <c r="A958" s="443" t="s">
        <v>552</v>
      </c>
      <c r="B958" s="443"/>
      <c r="C958" s="443"/>
      <c r="D958" s="443"/>
      <c r="E958" s="443"/>
      <c r="F958" s="443"/>
      <c r="G958" s="443"/>
      <c r="H958" s="443"/>
      <c r="I958" s="443"/>
      <c r="J958" s="443"/>
      <c r="K958" s="295"/>
    </row>
    <row r="959" spans="1:11" x14ac:dyDescent="0.2">
      <c r="A959" s="9"/>
      <c r="B959" s="9"/>
      <c r="C959" s="9"/>
      <c r="D959" s="9"/>
      <c r="E959" s="9"/>
      <c r="F959" s="9"/>
      <c r="G959" s="9"/>
      <c r="H959" s="9"/>
      <c r="I959" s="9"/>
      <c r="J959" s="9"/>
      <c r="K959" s="295"/>
    </row>
    <row r="960" spans="1:11" ht="13.15" customHeight="1" x14ac:dyDescent="0.2">
      <c r="A960" s="33" t="s">
        <v>708</v>
      </c>
      <c r="B960" s="9"/>
      <c r="C960" s="9"/>
      <c r="D960" s="9"/>
      <c r="E960" s="9"/>
      <c r="F960" s="9"/>
      <c r="G960" s="9"/>
      <c r="H960" s="9"/>
      <c r="I960" s="9"/>
      <c r="J960" s="9"/>
      <c r="K960" s="295"/>
    </row>
    <row r="961" spans="1:12" ht="13.5" thickBot="1" x14ac:dyDescent="0.25">
      <c r="A961" s="9"/>
      <c r="B961" s="135"/>
      <c r="C961" s="9" t="s">
        <v>709</v>
      </c>
      <c r="D961" s="9"/>
      <c r="E961" s="9"/>
      <c r="F961" s="135"/>
      <c r="G961" s="9" t="s">
        <v>713</v>
      </c>
      <c r="H961" s="9"/>
      <c r="I961" s="9"/>
      <c r="J961" s="9"/>
      <c r="K961" s="295"/>
      <c r="L961" s="23" t="s">
        <v>208</v>
      </c>
    </row>
    <row r="962" spans="1:12" ht="13.5" thickBot="1" x14ac:dyDescent="0.25">
      <c r="A962" s="9"/>
      <c r="B962" s="135"/>
      <c r="C962" s="9" t="s">
        <v>710</v>
      </c>
      <c r="D962" s="9"/>
      <c r="E962" s="9"/>
      <c r="F962" s="135"/>
      <c r="G962" s="9" t="s">
        <v>714</v>
      </c>
      <c r="H962" s="9"/>
      <c r="I962" s="9"/>
      <c r="J962" s="9"/>
      <c r="K962" s="295"/>
      <c r="L962" s="23">
        <v>0</v>
      </c>
    </row>
    <row r="963" spans="1:12" ht="13.5" thickBot="1" x14ac:dyDescent="0.25">
      <c r="A963" s="9"/>
      <c r="B963" s="135"/>
      <c r="C963" s="9" t="s">
        <v>711</v>
      </c>
      <c r="D963" s="9"/>
      <c r="E963" s="9"/>
      <c r="F963" s="135"/>
      <c r="G963" s="9" t="s">
        <v>715</v>
      </c>
      <c r="H963" s="9"/>
      <c r="I963" s="9"/>
      <c r="J963" s="9"/>
      <c r="K963" s="295"/>
      <c r="L963" s="25">
        <v>1</v>
      </c>
    </row>
    <row r="964" spans="1:12" ht="13.15" customHeight="1" thickBot="1" x14ac:dyDescent="0.25">
      <c r="A964" s="9"/>
      <c r="B964" s="135"/>
      <c r="C964" s="9" t="s">
        <v>712</v>
      </c>
      <c r="D964" s="9"/>
      <c r="E964" s="9"/>
      <c r="F964" s="135"/>
      <c r="G964" s="18" t="s">
        <v>722</v>
      </c>
      <c r="H964" s="9"/>
      <c r="I964" s="9"/>
      <c r="J964" s="9"/>
      <c r="K964" s="295"/>
      <c r="L964" s="23">
        <v>2</v>
      </c>
    </row>
    <row r="965" spans="1:12" ht="13.15" customHeight="1" x14ac:dyDescent="0.2">
      <c r="A965" s="9"/>
      <c r="B965" s="9"/>
      <c r="C965" s="9"/>
      <c r="D965" s="9"/>
      <c r="E965" s="9"/>
      <c r="F965" s="9"/>
      <c r="G965" s="9"/>
      <c r="H965" s="9"/>
      <c r="I965" s="9"/>
      <c r="J965" s="9"/>
      <c r="K965" s="295"/>
      <c r="L965" s="23">
        <v>3</v>
      </c>
    </row>
    <row r="966" spans="1:12" x14ac:dyDescent="0.2">
      <c r="A966" s="33" t="s">
        <v>723</v>
      </c>
      <c r="B966" s="9"/>
      <c r="C966" s="9"/>
      <c r="D966" s="9"/>
      <c r="E966" s="9"/>
      <c r="F966" s="9"/>
      <c r="G966" s="9"/>
      <c r="H966" s="9"/>
      <c r="I966" s="9"/>
      <c r="J966" s="9"/>
      <c r="K966" s="295"/>
      <c r="L966" s="23">
        <v>4</v>
      </c>
    </row>
    <row r="967" spans="1:12" ht="13.5" thickBot="1" x14ac:dyDescent="0.25">
      <c r="A967" s="9"/>
      <c r="B967" s="135"/>
      <c r="C967" s="9" t="s">
        <v>709</v>
      </c>
      <c r="D967" s="9"/>
      <c r="E967" s="9"/>
      <c r="F967" s="135"/>
      <c r="G967" s="9" t="s">
        <v>713</v>
      </c>
      <c r="H967" s="9"/>
      <c r="I967" s="9"/>
      <c r="J967" s="9"/>
      <c r="K967" s="295"/>
    </row>
    <row r="968" spans="1:12" ht="13.5" thickBot="1" x14ac:dyDescent="0.25">
      <c r="A968" s="9"/>
      <c r="B968" s="135"/>
      <c r="C968" s="9" t="s">
        <v>710</v>
      </c>
      <c r="D968" s="9"/>
      <c r="E968" s="9"/>
      <c r="F968" s="135"/>
      <c r="G968" s="9" t="s">
        <v>714</v>
      </c>
      <c r="H968" s="9"/>
      <c r="I968" s="9"/>
      <c r="J968" s="9"/>
      <c r="K968" s="295"/>
    </row>
    <row r="969" spans="1:12" ht="13.5" thickBot="1" x14ac:dyDescent="0.25">
      <c r="A969" s="9"/>
      <c r="B969" s="135"/>
      <c r="C969" s="9" t="s">
        <v>711</v>
      </c>
      <c r="D969" s="9"/>
      <c r="E969" s="9"/>
      <c r="F969" s="135"/>
      <c r="G969" s="9" t="s">
        <v>715</v>
      </c>
      <c r="H969" s="9"/>
      <c r="I969" s="9"/>
      <c r="J969" s="9"/>
      <c r="K969" s="295"/>
      <c r="L969" s="9" t="s">
        <v>765</v>
      </c>
    </row>
    <row r="970" spans="1:12" ht="13.5" thickBot="1" x14ac:dyDescent="0.25">
      <c r="A970" s="9"/>
      <c r="B970" s="135"/>
      <c r="C970" s="9" t="s">
        <v>712</v>
      </c>
      <c r="D970" s="9"/>
      <c r="E970" s="9"/>
      <c r="F970" s="135"/>
      <c r="G970" s="18" t="s">
        <v>722</v>
      </c>
      <c r="H970" s="9"/>
      <c r="I970" s="9"/>
      <c r="J970" s="9"/>
      <c r="K970" s="295"/>
      <c r="L970" s="9" t="s">
        <v>758</v>
      </c>
    </row>
    <row r="971" spans="1:12" x14ac:dyDescent="0.2">
      <c r="A971" s="9"/>
      <c r="B971" s="9"/>
      <c r="C971" s="9"/>
      <c r="D971" s="9"/>
      <c r="E971" s="9"/>
      <c r="F971" s="9"/>
      <c r="G971" s="9"/>
      <c r="H971" s="9"/>
      <c r="I971" s="9"/>
      <c r="J971" s="9"/>
      <c r="K971" s="295"/>
      <c r="L971" s="9" t="s">
        <v>757</v>
      </c>
    </row>
    <row r="972" spans="1:12" x14ac:dyDescent="0.2">
      <c r="A972" s="54"/>
      <c r="B972" s="72" t="s">
        <v>724</v>
      </c>
      <c r="C972" s="72"/>
      <c r="D972" s="476" t="s">
        <v>727</v>
      </c>
      <c r="E972" s="476"/>
      <c r="F972" s="476" t="s">
        <v>728</v>
      </c>
      <c r="G972" s="476"/>
      <c r="H972" s="476" t="s">
        <v>732</v>
      </c>
      <c r="I972" s="476"/>
      <c r="J972" s="9"/>
      <c r="K972" s="295"/>
      <c r="L972" s="9" t="s">
        <v>760</v>
      </c>
    </row>
    <row r="973" spans="1:12" x14ac:dyDescent="0.2">
      <c r="A973" s="9"/>
      <c r="B973" s="515" t="s">
        <v>725</v>
      </c>
      <c r="C973" s="517"/>
      <c r="D973" s="513"/>
      <c r="E973" s="513"/>
      <c r="F973" s="513"/>
      <c r="G973" s="513"/>
      <c r="H973" s="512"/>
      <c r="I973" s="513"/>
      <c r="J973" s="9"/>
      <c r="K973" s="295"/>
      <c r="L973" s="9" t="s">
        <v>761</v>
      </c>
    </row>
    <row r="974" spans="1:12" x14ac:dyDescent="0.2">
      <c r="A974" s="9"/>
      <c r="B974" s="515" t="s">
        <v>726</v>
      </c>
      <c r="C974" s="517"/>
      <c r="D974" s="513"/>
      <c r="E974" s="513"/>
      <c r="F974" s="513"/>
      <c r="G974" s="513"/>
      <c r="H974" s="512"/>
      <c r="I974" s="513"/>
      <c r="J974" s="9"/>
      <c r="K974" s="295"/>
      <c r="L974" s="9" t="s">
        <v>762</v>
      </c>
    </row>
    <row r="975" spans="1:12" x14ac:dyDescent="0.2">
      <c r="A975" s="9"/>
      <c r="B975" s="538" t="s">
        <v>715</v>
      </c>
      <c r="C975" s="539"/>
      <c r="D975" s="513"/>
      <c r="E975" s="513"/>
      <c r="F975" s="513"/>
      <c r="G975" s="513"/>
      <c r="H975" s="512"/>
      <c r="I975" s="513"/>
      <c r="J975" s="9"/>
      <c r="K975" s="295"/>
      <c r="L975" s="9" t="s">
        <v>759</v>
      </c>
    </row>
    <row r="976" spans="1:12" x14ac:dyDescent="0.2">
      <c r="A976" s="9"/>
      <c r="B976" s="9"/>
      <c r="C976" s="9"/>
      <c r="D976" s="9"/>
      <c r="E976" s="9"/>
      <c r="F976" s="9"/>
      <c r="G976" s="9"/>
      <c r="H976" s="9"/>
      <c r="I976" s="9"/>
      <c r="J976" s="9"/>
      <c r="K976" s="295"/>
      <c r="L976" s="9" t="s">
        <v>763</v>
      </c>
    </row>
    <row r="977" spans="1:12" x14ac:dyDescent="0.2">
      <c r="A977" s="33" t="s">
        <v>733</v>
      </c>
      <c r="B977" s="9"/>
      <c r="C977" s="9"/>
      <c r="D977" s="9"/>
      <c r="E977" s="9"/>
      <c r="F977" s="9"/>
      <c r="G977" s="9"/>
      <c r="H977" s="9"/>
      <c r="I977" s="9"/>
      <c r="J977" s="9"/>
      <c r="K977" s="295"/>
      <c r="L977" s="9" t="s">
        <v>764</v>
      </c>
    </row>
    <row r="978" spans="1:12" x14ac:dyDescent="0.2">
      <c r="A978" s="29"/>
      <c r="B978" s="30"/>
      <c r="C978" s="30"/>
      <c r="D978" s="29"/>
      <c r="E978" s="632" t="s">
        <v>746</v>
      </c>
      <c r="F978" s="449"/>
      <c r="G978" s="449"/>
      <c r="H978" s="449"/>
      <c r="I978" s="449"/>
      <c r="J978" s="319"/>
      <c r="K978" s="295"/>
    </row>
    <row r="979" spans="1:12" x14ac:dyDescent="0.2">
      <c r="A979" s="55" t="s">
        <v>734</v>
      </c>
      <c r="B979" s="675" t="s">
        <v>735</v>
      </c>
      <c r="C979" s="676"/>
      <c r="D979" s="55" t="s">
        <v>736</v>
      </c>
      <c r="E979" s="56">
        <v>0</v>
      </c>
      <c r="F979" s="57">
        <v>1</v>
      </c>
      <c r="G979" s="57">
        <v>2</v>
      </c>
      <c r="H979" s="57">
        <v>3</v>
      </c>
      <c r="I979" s="57">
        <v>4</v>
      </c>
      <c r="J979" s="319"/>
      <c r="K979" s="295"/>
    </row>
    <row r="980" spans="1:12" x14ac:dyDescent="0.2">
      <c r="A980" s="317"/>
      <c r="B980" s="469" t="s">
        <v>726</v>
      </c>
      <c r="C980" s="470"/>
      <c r="D980" s="168"/>
      <c r="E980" s="153"/>
      <c r="F980" s="153"/>
      <c r="G980" s="153"/>
      <c r="H980" s="153"/>
      <c r="I980" s="153"/>
      <c r="J980"/>
      <c r="K980" s="295"/>
    </row>
    <row r="981" spans="1:12" x14ac:dyDescent="0.2">
      <c r="A981" s="317"/>
      <c r="B981" s="469" t="s">
        <v>739</v>
      </c>
      <c r="C981" s="470"/>
      <c r="D981" s="168"/>
      <c r="E981" s="153"/>
      <c r="F981" s="153"/>
      <c r="G981" s="153"/>
      <c r="H981" s="153"/>
      <c r="I981" s="153"/>
      <c r="J981"/>
      <c r="K981" s="295"/>
    </row>
    <row r="982" spans="1:12" x14ac:dyDescent="0.2">
      <c r="A982" s="317"/>
      <c r="B982" s="469" t="s">
        <v>740</v>
      </c>
      <c r="C982" s="470"/>
      <c r="D982" s="168"/>
      <c r="E982" s="153"/>
      <c r="F982" s="153"/>
      <c r="G982" s="153"/>
      <c r="H982" s="153"/>
      <c r="I982" s="153"/>
      <c r="J982"/>
      <c r="K982" s="295"/>
    </row>
    <row r="983" spans="1:12" x14ac:dyDescent="0.2">
      <c r="A983" s="317"/>
      <c r="B983" s="469" t="s">
        <v>741</v>
      </c>
      <c r="C983" s="470"/>
      <c r="D983" s="168"/>
      <c r="E983" s="153"/>
      <c r="F983" s="153"/>
      <c r="G983" s="153"/>
      <c r="H983" s="153"/>
      <c r="I983" s="153"/>
      <c r="J983"/>
      <c r="K983" s="295"/>
    </row>
    <row r="984" spans="1:12" x14ac:dyDescent="0.2">
      <c r="A984" s="317"/>
      <c r="B984" s="469" t="s">
        <v>715</v>
      </c>
      <c r="C984" s="470"/>
      <c r="D984" s="168"/>
      <c r="E984" s="153"/>
      <c r="F984" s="153"/>
      <c r="G984" s="153"/>
      <c r="H984" s="153"/>
      <c r="I984" s="153"/>
      <c r="J984"/>
      <c r="K984" s="295"/>
    </row>
    <row r="985" spans="1:12" x14ac:dyDescent="0.2">
      <c r="A985" s="9"/>
      <c r="B985" s="469" t="s">
        <v>742</v>
      </c>
      <c r="C985" s="470"/>
      <c r="D985" s="168"/>
      <c r="E985" s="153"/>
      <c r="F985" s="153"/>
      <c r="G985" s="153"/>
      <c r="H985" s="153"/>
      <c r="I985" s="153"/>
      <c r="J985"/>
      <c r="K985" s="295"/>
    </row>
    <row r="986" spans="1:12" x14ac:dyDescent="0.2">
      <c r="A986" s="9"/>
      <c r="B986" s="469" t="s">
        <v>743</v>
      </c>
      <c r="C986" s="470"/>
      <c r="D986" s="168"/>
      <c r="E986" s="153"/>
      <c r="F986" s="153"/>
      <c r="G986" s="153"/>
      <c r="H986" s="153"/>
      <c r="I986" s="153"/>
      <c r="J986"/>
      <c r="K986" s="295"/>
    </row>
    <row r="987" spans="1:12" x14ac:dyDescent="0.2">
      <c r="A987" s="9"/>
      <c r="B987" s="469" t="s">
        <v>744</v>
      </c>
      <c r="C987" s="470"/>
      <c r="D987" s="168"/>
      <c r="E987" s="153"/>
      <c r="F987" s="153"/>
      <c r="G987" s="153"/>
      <c r="H987" s="153"/>
      <c r="I987" s="153"/>
      <c r="J987"/>
      <c r="K987" s="295"/>
    </row>
    <row r="988" spans="1:12" x14ac:dyDescent="0.2">
      <c r="A988" s="9"/>
      <c r="B988" s="473" t="s">
        <v>1118</v>
      </c>
      <c r="C988" s="474"/>
      <c r="D988" s="59"/>
      <c r="E988" s="378"/>
      <c r="F988" s="378"/>
      <c r="G988" s="378"/>
      <c r="H988" s="378"/>
      <c r="I988" s="378"/>
      <c r="J988"/>
      <c r="K988" s="295"/>
    </row>
    <row r="989" spans="1:12" x14ac:dyDescent="0.2">
      <c r="A989" s="9"/>
      <c r="B989" s="60"/>
      <c r="C989" s="60"/>
      <c r="D989" s="61" t="s">
        <v>745</v>
      </c>
      <c r="E989" s="58">
        <f>SUM(E980:E988)</f>
        <v>0</v>
      </c>
      <c r="F989" s="58">
        <f>SUM(F980:F988)</f>
        <v>0</v>
      </c>
      <c r="G989" s="58">
        <f>SUM(G980:G988)</f>
        <v>0</v>
      </c>
      <c r="H989" s="58">
        <f>SUM(H980:H988)</f>
        <v>0</v>
      </c>
      <c r="I989" s="58">
        <f>SUM(I980:I988)</f>
        <v>0</v>
      </c>
      <c r="J989"/>
      <c r="K989" s="295"/>
    </row>
    <row r="990" spans="1:12" x14ac:dyDescent="0.2">
      <c r="A990" s="673" t="s">
        <v>1119</v>
      </c>
      <c r="B990" s="673"/>
      <c r="C990" s="673"/>
      <c r="D990" s="673"/>
      <c r="E990" s="673"/>
      <c r="F990" s="673"/>
      <c r="G990" s="673"/>
      <c r="H990" s="673"/>
      <c r="I990" s="673"/>
      <c r="J990"/>
      <c r="K990" s="295"/>
    </row>
    <row r="991" spans="1:12" x14ac:dyDescent="0.2">
      <c r="A991" s="673"/>
      <c r="B991" s="673"/>
      <c r="C991" s="673"/>
      <c r="D991" s="673"/>
      <c r="E991" s="673"/>
      <c r="F991" s="673"/>
      <c r="G991" s="673"/>
      <c r="H991" s="673"/>
      <c r="I991" s="673"/>
      <c r="J991"/>
      <c r="K991" s="295"/>
    </row>
    <row r="992" spans="1:12" x14ac:dyDescent="0.2">
      <c r="A992" s="379"/>
      <c r="B992" s="379"/>
      <c r="C992" s="379"/>
      <c r="D992" s="379"/>
      <c r="E992" s="379"/>
      <c r="F992" s="379"/>
      <c r="G992" s="379"/>
      <c r="H992" s="379"/>
      <c r="I992" s="379"/>
      <c r="J992"/>
      <c r="K992" s="295"/>
    </row>
    <row r="993" spans="1:11" x14ac:dyDescent="0.2">
      <c r="A993" s="9" t="s">
        <v>747</v>
      </c>
      <c r="B993" s="9"/>
      <c r="C993" s="9"/>
      <c r="D993" s="9"/>
      <c r="E993" s="439"/>
      <c r="F993" s="439"/>
      <c r="G993" s="439"/>
      <c r="H993" s="439"/>
      <c r="I993" s="9"/>
      <c r="J993" s="9"/>
      <c r="K993" s="295"/>
    </row>
    <row r="994" spans="1:11" x14ac:dyDescent="0.2">
      <c r="A994" s="9"/>
      <c r="B994" s="9"/>
      <c r="C994" s="9"/>
      <c r="D994" s="34" t="s">
        <v>751</v>
      </c>
      <c r="E994" s="439"/>
      <c r="F994" s="439"/>
      <c r="G994" s="439"/>
      <c r="H994" s="439"/>
      <c r="I994" s="439"/>
      <c r="J994" s="9"/>
      <c r="K994" s="295"/>
    </row>
    <row r="995" spans="1:11" x14ac:dyDescent="0.2">
      <c r="A995" s="9"/>
      <c r="B995" s="9"/>
      <c r="C995" s="9"/>
      <c r="D995" s="34" t="s">
        <v>591</v>
      </c>
      <c r="E995" s="541"/>
      <c r="F995" s="541"/>
      <c r="G995" s="9"/>
      <c r="H995" s="9"/>
      <c r="I995" s="9"/>
      <c r="J995" s="9"/>
      <c r="K995" s="295"/>
    </row>
    <row r="996" spans="1:11" x14ac:dyDescent="0.2">
      <c r="A996" s="9"/>
      <c r="B996" s="9"/>
      <c r="C996" s="9"/>
      <c r="D996" s="9"/>
      <c r="E996" s="9"/>
      <c r="F996" s="9"/>
      <c r="G996" s="9"/>
      <c r="H996" s="9"/>
      <c r="I996" s="9"/>
      <c r="J996" s="9"/>
      <c r="K996" s="295"/>
    </row>
    <row r="997" spans="1:11" x14ac:dyDescent="0.2">
      <c r="A997" s="443" t="s">
        <v>1013</v>
      </c>
      <c r="B997" s="443"/>
      <c r="C997" s="443"/>
      <c r="D997" s="443"/>
      <c r="E997" s="443"/>
      <c r="F997" s="443"/>
      <c r="G997" s="443"/>
      <c r="H997" s="443"/>
      <c r="I997" s="443"/>
      <c r="J997" s="443"/>
      <c r="K997" s="295"/>
    </row>
    <row r="998" spans="1:11" x14ac:dyDescent="0.2">
      <c r="A998" s="176"/>
      <c r="B998" s="171"/>
      <c r="C998" s="9"/>
      <c r="D998" s="9"/>
      <c r="E998" s="9"/>
      <c r="F998" s="9"/>
      <c r="G998" s="9"/>
      <c r="H998"/>
      <c r="I998"/>
      <c r="J998" s="9"/>
      <c r="K998" s="295"/>
    </row>
    <row r="999" spans="1:11" x14ac:dyDescent="0.2">
      <c r="A999" s="9" t="s">
        <v>1021</v>
      </c>
      <c r="B999" s="9"/>
      <c r="C999" s="9"/>
      <c r="D999" s="9"/>
      <c r="E999" s="9"/>
      <c r="F999" s="9"/>
      <c r="G999" s="9"/>
      <c r="H999" s="9"/>
      <c r="I999" s="9"/>
      <c r="J999" s="9"/>
      <c r="K999" s="295"/>
    </row>
    <row r="1000" spans="1:11" x14ac:dyDescent="0.2">
      <c r="A1000" s="229"/>
      <c r="B1000" s="230"/>
      <c r="C1000" s="624" t="s">
        <v>1078</v>
      </c>
      <c r="D1000" s="524" t="s">
        <v>160</v>
      </c>
      <c r="E1000" s="524" t="s">
        <v>1020</v>
      </c>
      <c r="F1000" s="524" t="s">
        <v>1001</v>
      </c>
      <c r="G1000" s="524" t="s">
        <v>1002</v>
      </c>
      <c r="H1000" s="524" t="s">
        <v>1014</v>
      </c>
      <c r="I1000" s="524" t="s">
        <v>265</v>
      </c>
      <c r="J1000" s="524" t="s">
        <v>1019</v>
      </c>
      <c r="K1000" s="295"/>
    </row>
    <row r="1001" spans="1:11" ht="12.75" customHeight="1" x14ac:dyDescent="0.2">
      <c r="A1001" s="229"/>
      <c r="B1001" s="230"/>
      <c r="C1001" s="625"/>
      <c r="D1001" s="525"/>
      <c r="E1001" s="525"/>
      <c r="F1001" s="525"/>
      <c r="G1001" s="525"/>
      <c r="H1001" s="525"/>
      <c r="I1001" s="525"/>
      <c r="J1001" s="525"/>
      <c r="K1001" s="295"/>
    </row>
    <row r="1002" spans="1:11" ht="12.75" customHeight="1" x14ac:dyDescent="0.2">
      <c r="A1002" s="229"/>
      <c r="B1002" s="318" t="s">
        <v>1077</v>
      </c>
      <c r="C1002" s="354"/>
      <c r="D1002" s="175" t="str">
        <f>IF(C1002="","",E989)</f>
        <v/>
      </c>
      <c r="E1002" s="352"/>
      <c r="F1002" s="352"/>
      <c r="G1002" s="353"/>
      <c r="H1002" s="353"/>
      <c r="I1002" s="353"/>
      <c r="J1002" s="231" t="str">
        <f>IF(H1002="","",H1002/I1002)</f>
        <v/>
      </c>
      <c r="K1002" s="295"/>
    </row>
    <row r="1003" spans="1:11" x14ac:dyDescent="0.2">
      <c r="A1003" s="229"/>
      <c r="B1003" s="75" t="s">
        <v>1015</v>
      </c>
      <c r="C1003" s="354"/>
      <c r="D1003" s="175" t="str">
        <f>IF(C1003="","",F989)</f>
        <v/>
      </c>
      <c r="E1003" s="352"/>
      <c r="F1003" s="352"/>
      <c r="G1003" s="353"/>
      <c r="H1003" s="353"/>
      <c r="I1003" s="353"/>
      <c r="J1003" s="231" t="str">
        <f>IF(H1003="","",H1003/I1003)</f>
        <v/>
      </c>
      <c r="K1003" s="295"/>
    </row>
    <row r="1004" spans="1:11" x14ac:dyDescent="0.2">
      <c r="A1004" s="229"/>
      <c r="B1004" s="75" t="s">
        <v>1016</v>
      </c>
      <c r="C1004" s="354"/>
      <c r="D1004" s="175" t="str">
        <f>IF(C1004="","",G989)</f>
        <v/>
      </c>
      <c r="E1004" s="352"/>
      <c r="F1004" s="352"/>
      <c r="G1004" s="353"/>
      <c r="H1004" s="353"/>
      <c r="I1004" s="353"/>
      <c r="J1004" s="231" t="str">
        <f>IF(H1004="","",H1004/I1004)</f>
        <v/>
      </c>
      <c r="K1004" s="295"/>
    </row>
    <row r="1005" spans="1:11" ht="12.75" customHeight="1" x14ac:dyDescent="0.2">
      <c r="A1005" s="229"/>
      <c r="B1005" s="75" t="s">
        <v>1017</v>
      </c>
      <c r="C1005" s="354"/>
      <c r="D1005" s="175" t="str">
        <f>IF(C1005="","",H989)</f>
        <v/>
      </c>
      <c r="E1005" s="352"/>
      <c r="F1005" s="352"/>
      <c r="G1005" s="353"/>
      <c r="H1005" s="353"/>
      <c r="I1005" s="353"/>
      <c r="J1005" s="231" t="str">
        <f>IF(H1005="","",H1005/I1005)</f>
        <v/>
      </c>
      <c r="K1005" s="295"/>
    </row>
    <row r="1006" spans="1:11" ht="12.75" customHeight="1" x14ac:dyDescent="0.2">
      <c r="A1006" s="229"/>
      <c r="B1006" s="75" t="s">
        <v>1018</v>
      </c>
      <c r="C1006" s="354"/>
      <c r="D1006" s="175" t="str">
        <f>IF(C1006="","",I989)</f>
        <v/>
      </c>
      <c r="E1006" s="352"/>
      <c r="F1006" s="352"/>
      <c r="G1006" s="353"/>
      <c r="H1006" s="353"/>
      <c r="I1006" s="353"/>
      <c r="J1006" s="231" t="str">
        <f>IF(H1006="","",H1006/I1006)</f>
        <v/>
      </c>
      <c r="K1006" s="295"/>
    </row>
    <row r="1007" spans="1:11" x14ac:dyDescent="0.2">
      <c r="A1007" s="188"/>
      <c r="B1007" s="171"/>
      <c r="C1007" s="9"/>
      <c r="D1007" s="9"/>
      <c r="E1007"/>
      <c r="F1007" s="9"/>
      <c r="G1007" s="9"/>
      <c r="H1007" s="9"/>
      <c r="I1007" s="9"/>
      <c r="J1007" s="9"/>
      <c r="K1007" s="295"/>
    </row>
    <row r="1008" spans="1:11" x14ac:dyDescent="0.2">
      <c r="A1008" s="441" t="s">
        <v>1060</v>
      </c>
      <c r="B1008" s="441"/>
      <c r="C1008" s="441"/>
      <c r="D1008" s="441"/>
      <c r="E1008" s="441"/>
      <c r="F1008" s="441"/>
      <c r="G1008" s="441"/>
      <c r="H1008" s="441"/>
      <c r="I1008" s="441"/>
      <c r="J1008" s="441"/>
      <c r="K1008" s="295"/>
    </row>
    <row r="1009" spans="1:11" x14ac:dyDescent="0.2">
      <c r="A1009" s="441" t="s">
        <v>1061</v>
      </c>
      <c r="B1009" s="441"/>
      <c r="C1009" s="441"/>
      <c r="D1009" s="441"/>
      <c r="E1009" s="441"/>
      <c r="F1009" s="441"/>
      <c r="G1009" s="441"/>
      <c r="H1009" s="441"/>
      <c r="I1009" s="441"/>
      <c r="J1009" s="441"/>
      <c r="K1009" s="295"/>
    </row>
    <row r="1010" spans="1:11" x14ac:dyDescent="0.2">
      <c r="A1010" s="441" t="s">
        <v>88</v>
      </c>
      <c r="B1010" s="441"/>
      <c r="C1010" s="441"/>
      <c r="D1010" s="441"/>
      <c r="E1010" s="441"/>
      <c r="F1010" s="441"/>
      <c r="G1010" s="441"/>
      <c r="H1010" s="441"/>
      <c r="I1010" s="441"/>
      <c r="J1010" s="441"/>
      <c r="K1010" s="295"/>
    </row>
    <row r="1011" spans="1:11" ht="12.75" customHeight="1" x14ac:dyDescent="0.2">
      <c r="A1011" s="26"/>
      <c r="B1011" s="9"/>
      <c r="C1011" s="9"/>
      <c r="D1011" s="446" t="str">
        <f>IF($B$229="","",$B$229)</f>
        <v/>
      </c>
      <c r="E1011" s="446"/>
      <c r="F1011" s="446"/>
      <c r="G1011" s="446"/>
      <c r="H1011" s="9"/>
      <c r="I1011" s="27"/>
      <c r="J1011" s="9"/>
      <c r="K1011" s="295"/>
    </row>
    <row r="1012" spans="1:11" x14ac:dyDescent="0.2">
      <c r="A1012" s="9"/>
      <c r="B1012" s="9"/>
      <c r="C1012" s="9"/>
      <c r="D1012" s="443" t="s">
        <v>1143</v>
      </c>
      <c r="E1012" s="443"/>
      <c r="F1012" s="443"/>
      <c r="G1012" s="443"/>
      <c r="H1012" s="9"/>
      <c r="I1012" s="9"/>
      <c r="J1012" s="9"/>
      <c r="K1012" s="295"/>
    </row>
    <row r="1013" spans="1:11" x14ac:dyDescent="0.2">
      <c r="A1013" s="443" t="s">
        <v>272</v>
      </c>
      <c r="B1013" s="443"/>
      <c r="C1013" s="443"/>
      <c r="D1013" s="443"/>
      <c r="E1013" s="443"/>
      <c r="F1013" s="443"/>
      <c r="G1013" s="443"/>
      <c r="H1013" s="443"/>
      <c r="I1013" s="443"/>
      <c r="J1013" s="443"/>
      <c r="K1013" s="295"/>
    </row>
    <row r="1014" spans="1:11" customFormat="1" x14ac:dyDescent="0.2"/>
    <row r="1015" spans="1:11" x14ac:dyDescent="0.2">
      <c r="A1015" s="33" t="s">
        <v>769</v>
      </c>
      <c r="B1015" s="9"/>
      <c r="C1015" s="9"/>
      <c r="D1015" s="9"/>
      <c r="E1015" s="9"/>
      <c r="F1015" s="9"/>
      <c r="G1015" s="9"/>
      <c r="H1015" s="9"/>
      <c r="I1015" s="9"/>
      <c r="J1015" s="9"/>
      <c r="K1015" s="295"/>
    </row>
    <row r="1016" spans="1:11" ht="13.15" customHeight="1" x14ac:dyDescent="0.2">
      <c r="A1016" s="621" t="s">
        <v>752</v>
      </c>
      <c r="B1016" s="622"/>
      <c r="C1016" s="623"/>
      <c r="D1016" s="15"/>
      <c r="E1016" s="473" t="s">
        <v>288</v>
      </c>
      <c r="F1016" s="540"/>
      <c r="G1016" s="540"/>
      <c r="H1016" s="474"/>
      <c r="I1016" s="227" t="s">
        <v>1010</v>
      </c>
      <c r="J1016" s="210" t="s">
        <v>1009</v>
      </c>
      <c r="K1016" s="295"/>
    </row>
    <row r="1017" spans="1:11" ht="13.15" customHeight="1" x14ac:dyDescent="0.2">
      <c r="A1017" s="316" t="str">
        <f>IF(B235="","",B235)</f>
        <v/>
      </c>
      <c r="B1017" s="343" t="s">
        <v>1098</v>
      </c>
      <c r="C1017" s="364" t="str">
        <f>IF($A$1017="","",VLOOKUP($A$1017,'Income Limits, Mortgage, Amort'!$A$71:$B$99,2))</f>
        <v/>
      </c>
      <c r="D1017" s="169"/>
      <c r="E1017" s="62">
        <v>1</v>
      </c>
      <c r="F1017" s="62">
        <v>2</v>
      </c>
      <c r="G1017" s="62">
        <v>3</v>
      </c>
      <c r="H1017" s="62">
        <v>4</v>
      </c>
      <c r="I1017" s="228" t="s">
        <v>1011</v>
      </c>
      <c r="J1017" s="297"/>
      <c r="K1017" s="295"/>
    </row>
    <row r="1018" spans="1:11" x14ac:dyDescent="0.2">
      <c r="A1018" s="515" t="s">
        <v>133</v>
      </c>
      <c r="B1018" s="516"/>
      <c r="C1018" s="517"/>
      <c r="D1018" s="205" t="s">
        <v>520</v>
      </c>
      <c r="E1018" s="63" t="str">
        <f>IF($A$1017="","",VLOOKUP($A$1017,'Income Limits, Mortgage, Amort'!$A$3:$AC$31,19))</f>
        <v/>
      </c>
      <c r="F1018" s="63" t="str">
        <f>IF($A$1017="","",VLOOKUP($A$1017,'Income Limits, Mortgage, Amort'!$A$3:$AC$31,20))</f>
        <v/>
      </c>
      <c r="G1018" s="63" t="str">
        <f>IF($A$1017="","",VLOOKUP($A$1017,'Income Limits, Mortgage, Amort'!$A$3:$AC$31,21))</f>
        <v/>
      </c>
      <c r="H1018" s="63" t="str">
        <f>IF($A$1017="","",VLOOKUP($A$1017,'Income Limits, Mortgage, Amort'!$A$3:$AC$31,22))</f>
        <v/>
      </c>
      <c r="I1018" s="170"/>
      <c r="J1018" s="171"/>
      <c r="K1018" s="295"/>
    </row>
    <row r="1019" spans="1:11" x14ac:dyDescent="0.2">
      <c r="A1019" s="518" t="s">
        <v>1148</v>
      </c>
      <c r="B1019" s="516"/>
      <c r="C1019" s="517"/>
      <c r="D1019" s="205" t="s">
        <v>289</v>
      </c>
      <c r="E1019" s="63" t="str">
        <f>IF($A$1017="","",'Income Limits, Mortgage, Amort'!$AC$5)</f>
        <v/>
      </c>
      <c r="F1019" s="63" t="str">
        <f>IF($A$1017="","",'Income Limits, Mortgage, Amort'!$AC$6)</f>
        <v/>
      </c>
      <c r="G1019" s="63" t="str">
        <f>IF($A$1017="","",'Income Limits, Mortgage, Amort'!$AC$7)</f>
        <v/>
      </c>
      <c r="H1019" s="63" t="str">
        <f>IF($A$1017="","",'Income Limits, Mortgage, Amort'!$AC$8)</f>
        <v/>
      </c>
      <c r="I1019" s="203" t="s">
        <v>287</v>
      </c>
      <c r="J1019" s="204" t="str">
        <f>IF(F394="","No",F394)</f>
        <v>No</v>
      </c>
      <c r="K1019" s="295"/>
    </row>
    <row r="1020" spans="1:11" x14ac:dyDescent="0.2">
      <c r="A1020" s="413" t="s">
        <v>1149</v>
      </c>
      <c r="B1020" s="173"/>
      <c r="C1020" s="82" t="str">
        <f>IF($A$1017="","",VLOOKUP($A$1017,'Income Limits, Mortgage, Amort'!$A$3:$AC$31,26))</f>
        <v/>
      </c>
      <c r="D1020" s="172"/>
      <c r="E1020" s="63" t="str">
        <f>IF(C1020="","",C1020*E1019)</f>
        <v/>
      </c>
      <c r="F1020" s="63" t="str">
        <f>IF(C1020="","",C1020*F1019)</f>
        <v/>
      </c>
      <c r="G1020" s="63" t="str">
        <f>IF(C1020="","",C1020*G1019)</f>
        <v/>
      </c>
      <c r="H1020" s="63" t="str">
        <f>IF(C1020="","",C1020*H1019)</f>
        <v/>
      </c>
      <c r="I1020" s="527" t="s">
        <v>260</v>
      </c>
      <c r="J1020" s="528"/>
      <c r="K1020" s="295"/>
    </row>
    <row r="1021" spans="1:11" ht="12.75" customHeight="1" x14ac:dyDescent="0.2">
      <c r="A1021" s="514" t="s">
        <v>754</v>
      </c>
      <c r="B1021" s="514" t="s">
        <v>520</v>
      </c>
      <c r="C1021" s="514" t="s">
        <v>753</v>
      </c>
      <c r="D1021" s="477" t="s">
        <v>261</v>
      </c>
      <c r="E1021" s="477" t="s">
        <v>262</v>
      </c>
      <c r="F1021" s="477" t="s">
        <v>265</v>
      </c>
      <c r="G1021" s="477" t="s">
        <v>802</v>
      </c>
      <c r="H1021" s="480" t="s">
        <v>278</v>
      </c>
      <c r="I1021" s="477" t="s">
        <v>755</v>
      </c>
      <c r="J1021" s="477" t="s">
        <v>756</v>
      </c>
      <c r="K1021" s="295"/>
    </row>
    <row r="1022" spans="1:11" x14ac:dyDescent="0.2">
      <c r="A1022" s="514"/>
      <c r="B1022" s="514"/>
      <c r="C1022" s="514"/>
      <c r="D1022" s="478"/>
      <c r="E1022" s="478"/>
      <c r="F1022" s="478"/>
      <c r="G1022" s="478"/>
      <c r="H1022" s="481"/>
      <c r="I1022" s="478"/>
      <c r="J1022" s="478"/>
      <c r="K1022" s="295"/>
    </row>
    <row r="1023" spans="1:11" x14ac:dyDescent="0.2">
      <c r="A1023" s="332">
        <v>0</v>
      </c>
      <c r="B1023" s="355"/>
      <c r="C1023" s="356"/>
      <c r="D1023" s="357" t="str">
        <f>IF(C1023="","",$E$1020)</f>
        <v/>
      </c>
      <c r="E1023" s="358" t="str">
        <f>IF(C1023="","",D1023*0.95)</f>
        <v/>
      </c>
      <c r="F1023" s="359">
        <f>IF(B1023="",0,I1002)</f>
        <v>0</v>
      </c>
      <c r="G1023" s="360"/>
      <c r="H1023" s="361" t="str">
        <f>IF(B1023="","",F1023-G1023-H1002)</f>
        <v/>
      </c>
      <c r="I1023" s="362"/>
      <c r="J1023" s="363" t="str">
        <f t="shared" ref="J1023:J1027" si="0">IF(I1023="","",B1023*I1023)</f>
        <v/>
      </c>
      <c r="K1023" s="295"/>
    </row>
    <row r="1024" spans="1:11" x14ac:dyDescent="0.2">
      <c r="A1024" s="332">
        <v>1</v>
      </c>
      <c r="B1024" s="355"/>
      <c r="C1024" s="356"/>
      <c r="D1024" s="357" t="str">
        <f>IF(C1024="","",$E$1020)</f>
        <v/>
      </c>
      <c r="E1024" s="358" t="str">
        <f t="shared" ref="E1024:E1027" si="1">IF(C1024="","",D1024*0.95)</f>
        <v/>
      </c>
      <c r="F1024" s="359">
        <f>IF(B1024="",0,I1003)</f>
        <v>0</v>
      </c>
      <c r="G1024" s="360"/>
      <c r="H1024" s="361" t="str">
        <f>IF(B1024="","",F1024-G1024-H1003)</f>
        <v/>
      </c>
      <c r="I1024" s="362"/>
      <c r="J1024" s="363" t="str">
        <f t="shared" si="0"/>
        <v/>
      </c>
      <c r="K1024" s="295"/>
    </row>
    <row r="1025" spans="1:11" x14ac:dyDescent="0.2">
      <c r="A1025" s="332">
        <v>2</v>
      </c>
      <c r="B1025" s="355"/>
      <c r="C1025" s="356"/>
      <c r="D1025" s="357" t="str">
        <f>IF(C1025="","",$F$1020)</f>
        <v/>
      </c>
      <c r="E1025" s="358" t="str">
        <f t="shared" si="1"/>
        <v/>
      </c>
      <c r="F1025" s="359">
        <f>IF(B1025="",0,I1004)</f>
        <v>0</v>
      </c>
      <c r="G1025" s="360"/>
      <c r="H1025" s="361" t="str">
        <f>IF(B1025="","",F1025-G1025-H1004)</f>
        <v/>
      </c>
      <c r="I1025" s="362"/>
      <c r="J1025" s="363" t="str">
        <f t="shared" si="0"/>
        <v/>
      </c>
      <c r="K1025" s="295"/>
    </row>
    <row r="1026" spans="1:11" ht="12.75" customHeight="1" x14ac:dyDescent="0.2">
      <c r="A1026" s="332">
        <v>3</v>
      </c>
      <c r="B1026" s="355"/>
      <c r="C1026" s="356"/>
      <c r="D1026" s="357" t="str">
        <f>IF(C1026="","",$G$1020)</f>
        <v/>
      </c>
      <c r="E1026" s="358" t="str">
        <f t="shared" si="1"/>
        <v/>
      </c>
      <c r="F1026" s="359">
        <f>IF(B1026="",0,I1005)</f>
        <v>0</v>
      </c>
      <c r="G1026" s="360"/>
      <c r="H1026" s="361" t="str">
        <f>IF(B1026="","",F1026-G1026-H1005)</f>
        <v/>
      </c>
      <c r="I1026" s="362"/>
      <c r="J1026" s="363" t="str">
        <f t="shared" si="0"/>
        <v/>
      </c>
      <c r="K1026" s="295"/>
    </row>
    <row r="1027" spans="1:11" x14ac:dyDescent="0.2">
      <c r="A1027" s="332">
        <v>4</v>
      </c>
      <c r="B1027" s="355"/>
      <c r="C1027" s="356"/>
      <c r="D1027" s="357" t="str">
        <f>IF(C1027="","",$H$1020)</f>
        <v/>
      </c>
      <c r="E1027" s="358" t="str">
        <f t="shared" si="1"/>
        <v/>
      </c>
      <c r="F1027" s="359">
        <f>IF(B1027="",0,I1006)</f>
        <v>0</v>
      </c>
      <c r="G1027" s="360"/>
      <c r="H1027" s="361" t="str">
        <f>IF(B1027="","",F1027-G1027-H1006)</f>
        <v/>
      </c>
      <c r="I1027" s="362"/>
      <c r="J1027" s="363" t="str">
        <f t="shared" si="0"/>
        <v/>
      </c>
      <c r="K1027" s="295"/>
    </row>
    <row r="1028" spans="1:11" x14ac:dyDescent="0.2">
      <c r="A1028" s="232" t="s">
        <v>263</v>
      </c>
      <c r="B1028" s="64">
        <f>SUM(B1023:B1027)</f>
        <v>0</v>
      </c>
      <c r="C1028" s="9"/>
      <c r="D1028" s="9"/>
      <c r="E1028" s="34" t="s">
        <v>266</v>
      </c>
      <c r="F1028" s="65">
        <f>(F1023*B1023)+(F1024*B1024)+(F1025*B1025)+(F1026*B1026)+(F1027*B1027)</f>
        <v>0</v>
      </c>
      <c r="G1028" s="178"/>
      <c r="H1028" s="9"/>
      <c r="I1028" s="34" t="s">
        <v>267</v>
      </c>
      <c r="J1028" s="66">
        <f>SUM(J1023:J1027)</f>
        <v>0</v>
      </c>
      <c r="K1028" s="295"/>
    </row>
    <row r="1029" spans="1:11" x14ac:dyDescent="0.2">
      <c r="A1029" s="350"/>
      <c r="B1029" s="346"/>
      <c r="C1029" s="9"/>
      <c r="D1029" s="9"/>
      <c r="E1029" s="34"/>
      <c r="F1029" s="113"/>
      <c r="G1029" s="113"/>
      <c r="H1029" s="9"/>
      <c r="I1029" s="34"/>
      <c r="J1029" s="179"/>
      <c r="K1029" s="295"/>
    </row>
    <row r="1030" spans="1:11" x14ac:dyDescent="0.2">
      <c r="A1030" s="118"/>
      <c r="B1030" s="118"/>
      <c r="C1030"/>
      <c r="D1030" s="34" t="s">
        <v>1104</v>
      </c>
      <c r="E1030" s="510">
        <f>IF(E1023="",0,E1023*B1023)+IF(E1024="",0,E1024*B1024)+IF(E1025="",0,E1025*B1025)+IF(E1026="",0,E1026*B1026)+IF(E1027="",0,E1027*B1027)</f>
        <v>0</v>
      </c>
      <c r="F1030" s="511"/>
      <c r="G1030" s="43" t="s">
        <v>1106</v>
      </c>
      <c r="H1030" s="177"/>
      <c r="I1030" s="34"/>
      <c r="J1030" s="177"/>
      <c r="K1030" s="295"/>
    </row>
    <row r="1031" spans="1:11" x14ac:dyDescent="0.2">
      <c r="A1031" s="118"/>
      <c r="B1031" s="118"/>
      <c r="C1031"/>
      <c r="D1031" s="34" t="s">
        <v>1105</v>
      </c>
      <c r="E1031" s="510" t="str">
        <f>IF(A1017="","",((F1023*B1023)+(F1024*B1024)+(F1025*B1025)+(F1026*B1026)+(F1027*B1027))/B1028)</f>
        <v/>
      </c>
      <c r="F1031" s="511"/>
      <c r="G1031" s="34"/>
      <c r="H1031" s="177"/>
      <c r="I1031" s="34"/>
      <c r="J1031" s="177"/>
      <c r="K1031" s="295"/>
    </row>
    <row r="1032" spans="1:11" x14ac:dyDescent="0.2">
      <c r="A1032" s="485" t="str">
        <f>IF(E1031&gt;C1017,"&lt;&lt;AVG PURCHASE PRICE EXCEEDS MEDIAN&gt;&gt;",IF(E1031&lt;C1017,"AVG PURCHASE PRICE BELOW MEDIAN","AVG PURCHASE PRICE AT MEDIAN"))</f>
        <v>AVG PURCHASE PRICE AT MEDIAN</v>
      </c>
      <c r="B1032" s="485"/>
      <c r="C1032" s="485"/>
      <c r="D1032" s="485"/>
      <c r="E1032" s="485"/>
      <c r="F1032" s="485"/>
      <c r="G1032" s="34"/>
      <c r="H1032" s="177"/>
      <c r="I1032" s="34"/>
      <c r="J1032" s="177"/>
      <c r="K1032" s="295"/>
    </row>
    <row r="1033" spans="1:11" x14ac:dyDescent="0.2">
      <c r="A1033" s="345"/>
      <c r="B1033" s="345"/>
      <c r="C1033" s="345"/>
      <c r="D1033" s="345"/>
      <c r="E1033" s="345"/>
      <c r="F1033" s="345"/>
      <c r="G1033" s="34"/>
      <c r="H1033" s="177"/>
      <c r="I1033" s="34"/>
      <c r="J1033" s="177"/>
      <c r="K1033" s="295"/>
    </row>
    <row r="1034" spans="1:11" x14ac:dyDescent="0.2">
      <c r="A1034" s="33" t="s">
        <v>770</v>
      </c>
      <c r="B1034" s="9"/>
      <c r="C1034" s="9"/>
      <c r="D1034" s="9"/>
      <c r="E1034" s="9"/>
      <c r="F1034" s="9"/>
      <c r="G1034" s="9"/>
      <c r="H1034" s="9"/>
      <c r="I1034" s="9"/>
      <c r="J1034" s="9"/>
      <c r="K1034" s="295"/>
    </row>
    <row r="1035" spans="1:11" x14ac:dyDescent="0.2">
      <c r="A1035" s="514" t="s">
        <v>754</v>
      </c>
      <c r="B1035" s="514" t="s">
        <v>520</v>
      </c>
      <c r="D1035"/>
      <c r="E1035"/>
      <c r="F1035" s="492" t="s">
        <v>265</v>
      </c>
      <c r="G1035"/>
      <c r="H1035"/>
      <c r="I1035" s="514" t="s">
        <v>755</v>
      </c>
      <c r="J1035" s="514" t="s">
        <v>756</v>
      </c>
      <c r="K1035" s="295"/>
    </row>
    <row r="1036" spans="1:11" x14ac:dyDescent="0.2">
      <c r="A1036" s="514"/>
      <c r="B1036" s="514"/>
      <c r="D1036"/>
      <c r="E1036"/>
      <c r="F1036" s="493"/>
      <c r="G1036"/>
      <c r="H1036"/>
      <c r="I1036" s="514"/>
      <c r="J1036" s="514"/>
      <c r="K1036" s="295"/>
    </row>
    <row r="1037" spans="1:11" x14ac:dyDescent="0.2">
      <c r="A1037" s="332">
        <v>0</v>
      </c>
      <c r="B1037" s="154"/>
      <c r="D1037"/>
      <c r="E1037"/>
      <c r="F1037" s="180"/>
      <c r="G1037"/>
      <c r="H1037"/>
      <c r="I1037" s="155"/>
      <c r="J1037" s="102" t="str">
        <f>IF(I1037="","",B1037*I1037)</f>
        <v/>
      </c>
      <c r="K1037" s="295"/>
    </row>
    <row r="1038" spans="1:11" x14ac:dyDescent="0.2">
      <c r="A1038" s="332">
        <v>1</v>
      </c>
      <c r="B1038" s="154"/>
      <c r="D1038"/>
      <c r="E1038"/>
      <c r="F1038" s="180"/>
      <c r="G1038"/>
      <c r="H1038"/>
      <c r="I1038" s="155"/>
      <c r="J1038" s="102"/>
      <c r="K1038" s="295"/>
    </row>
    <row r="1039" spans="1:11" x14ac:dyDescent="0.2">
      <c r="A1039" s="332">
        <v>2</v>
      </c>
      <c r="B1039" s="154"/>
      <c r="D1039"/>
      <c r="E1039"/>
      <c r="F1039" s="180"/>
      <c r="G1039"/>
      <c r="H1039"/>
      <c r="I1039" s="155"/>
      <c r="J1039" s="102" t="str">
        <f>IF(I1039="","",B1039*I1039)</f>
        <v/>
      </c>
      <c r="K1039" s="295"/>
    </row>
    <row r="1040" spans="1:11" x14ac:dyDescent="0.2">
      <c r="A1040" s="332">
        <v>3</v>
      </c>
      <c r="B1040" s="154"/>
      <c r="D1040"/>
      <c r="E1040"/>
      <c r="F1040" s="180"/>
      <c r="G1040"/>
      <c r="H1040"/>
      <c r="I1040" s="155"/>
      <c r="J1040" s="102" t="str">
        <f>IF(I1040="","",B1040*I1040)</f>
        <v/>
      </c>
      <c r="K1040" s="295"/>
    </row>
    <row r="1041" spans="1:11" ht="12.75" customHeight="1" x14ac:dyDescent="0.2">
      <c r="A1041" s="332">
        <v>4</v>
      </c>
      <c r="B1041" s="154"/>
      <c r="D1041"/>
      <c r="E1041"/>
      <c r="F1041" s="180"/>
      <c r="G1041"/>
      <c r="H1041"/>
      <c r="I1041" s="155"/>
      <c r="J1041" s="102" t="str">
        <f>IF(I1041="","",B1041*I1041)</f>
        <v/>
      </c>
      <c r="K1041" s="295"/>
    </row>
    <row r="1042" spans="1:11" x14ac:dyDescent="0.2">
      <c r="A1042" s="232" t="s">
        <v>264</v>
      </c>
      <c r="B1042" s="64">
        <f>SUM(B1035:B1041)</f>
        <v>0</v>
      </c>
      <c r="C1042" s="9"/>
      <c r="D1042" s="9"/>
      <c r="E1042" s="34" t="s">
        <v>268</v>
      </c>
      <c r="F1042" s="181">
        <f>(F1037*B1037)+(F1038*B1038)+(F1039*B1039)+(F1040*B1040)+(F1041*B1041)</f>
        <v>0</v>
      </c>
      <c r="G1042"/>
      <c r="H1042"/>
      <c r="I1042" s="34" t="s">
        <v>269</v>
      </c>
      <c r="J1042" s="66">
        <f>SUM(J1037:J1041)</f>
        <v>0</v>
      </c>
      <c r="K1042" s="295"/>
    </row>
    <row r="1043" spans="1:11" x14ac:dyDescent="0.2">
      <c r="A1043" s="26" t="s">
        <v>650</v>
      </c>
      <c r="B1043" s="64">
        <f>B1028+B1042</f>
        <v>0</v>
      </c>
      <c r="C1043" s="9"/>
      <c r="D1043" s="9"/>
      <c r="E1043" s="9"/>
      <c r="F1043" s="34"/>
      <c r="G1043" s="672"/>
      <c r="H1043" s="672"/>
      <c r="I1043" s="9"/>
      <c r="J1043" s="9"/>
      <c r="K1043" s="295"/>
    </row>
    <row r="1044" spans="1:11" x14ac:dyDescent="0.2">
      <c r="A1044" s="26"/>
      <c r="B1044" s="307"/>
      <c r="C1044" s="9"/>
      <c r="D1044" s="9"/>
      <c r="E1044" s="9"/>
      <c r="F1044" s="34"/>
      <c r="G1044" s="310"/>
      <c r="H1044" s="310"/>
      <c r="I1044" s="9"/>
      <c r="J1044" s="9"/>
      <c r="K1044" s="295"/>
    </row>
    <row r="1045" spans="1:11" x14ac:dyDescent="0.2">
      <c r="A1045"/>
      <c r="B1045"/>
      <c r="C1045"/>
      <c r="D1045" s="81" t="s">
        <v>270</v>
      </c>
      <c r="E1045" s="483">
        <f>F1028+F1042</f>
        <v>0</v>
      </c>
      <c r="F1045" s="484"/>
      <c r="G1045"/>
      <c r="H1045"/>
      <c r="I1045" s="34" t="s">
        <v>271</v>
      </c>
      <c r="J1045" s="182">
        <f>J1028+J1042</f>
        <v>0</v>
      </c>
      <c r="K1045" s="295"/>
    </row>
    <row r="1046" spans="1:11" x14ac:dyDescent="0.2">
      <c r="A1046" s="485" t="str">
        <f>IF(E1045&lt;I844,"&lt;&lt;PURCHASE PRICE(S) DO NOT COVER COSTS&gt;&gt;",IF(E1045&gt;I844,"PURCHASE PRICE(S) EXCEED COSTS","PURCHASE PRICE(S) COVERS ALL COSTS"))</f>
        <v>PURCHASE PRICE(S) COVERS ALL COSTS</v>
      </c>
      <c r="B1046" s="485"/>
      <c r="C1046" s="485"/>
      <c r="D1046" s="485"/>
      <c r="E1046" s="485"/>
      <c r="F1046" s="485"/>
      <c r="G1046"/>
      <c r="H1046"/>
      <c r="I1046"/>
      <c r="J1046"/>
      <c r="K1046" s="295"/>
    </row>
    <row r="1047" spans="1:11" x14ac:dyDescent="0.2">
      <c r="A1047" s="311"/>
      <c r="B1047" s="311"/>
      <c r="C1047" s="311"/>
      <c r="D1047" s="311"/>
      <c r="E1047" s="311"/>
      <c r="F1047" s="311"/>
      <c r="G1047"/>
      <c r="H1047"/>
      <c r="I1047"/>
      <c r="J1047"/>
      <c r="K1047" s="295"/>
    </row>
    <row r="1048" spans="1:11" x14ac:dyDescent="0.2">
      <c r="A1048" s="443" t="s">
        <v>134</v>
      </c>
      <c r="B1048" s="443"/>
      <c r="C1048" s="443"/>
      <c r="D1048" s="443"/>
      <c r="E1048" s="443"/>
      <c r="F1048" s="443"/>
      <c r="G1048" s="443"/>
      <c r="H1048" s="443"/>
      <c r="I1048" s="443"/>
      <c r="J1048" s="443"/>
      <c r="K1048" s="295"/>
    </row>
    <row r="1049" spans="1:11" x14ac:dyDescent="0.2">
      <c r="A1049" s="128"/>
      <c r="B1049" s="128"/>
      <c r="C1049" s="128"/>
      <c r="D1049" s="128"/>
      <c r="E1049" s="128"/>
      <c r="F1049" s="128"/>
      <c r="G1049" s="128"/>
      <c r="H1049" s="128"/>
      <c r="I1049" s="128"/>
      <c r="J1049" s="128"/>
      <c r="K1049" s="295"/>
    </row>
    <row r="1050" spans="1:11" x14ac:dyDescent="0.2">
      <c r="A1050" s="183" t="s">
        <v>273</v>
      </c>
      <c r="B1050"/>
      <c r="C1050" s="507" t="str">
        <f>A1017</f>
        <v/>
      </c>
      <c r="D1050" s="507"/>
      <c r="E1050" t="s">
        <v>179</v>
      </c>
      <c r="F1050"/>
      <c r="G1050" s="184"/>
      <c r="H1050"/>
      <c r="I1050"/>
      <c r="J1050"/>
      <c r="K1050" s="295"/>
    </row>
    <row r="1051" spans="1:11" x14ac:dyDescent="0.2">
      <c r="A1051"/>
      <c r="B1051" s="81" t="s">
        <v>274</v>
      </c>
      <c r="C1051" s="508" t="s">
        <v>276</v>
      </c>
      <c r="D1051" s="508"/>
      <c r="E1051" s="482" t="s">
        <v>277</v>
      </c>
      <c r="F1051" s="482"/>
      <c r="G1051" s="509" t="s">
        <v>128</v>
      </c>
      <c r="H1051" s="509"/>
      <c r="I1051" s="669" t="s">
        <v>275</v>
      </c>
      <c r="J1051" s="669"/>
      <c r="K1051" s="295"/>
    </row>
    <row r="1052" spans="1:11" x14ac:dyDescent="0.2">
      <c r="A1052"/>
      <c r="B1052">
        <v>1</v>
      </c>
      <c r="C1052" s="479" t="str">
        <f>IF($C$1050="","",VLOOKUP($C$1050,'Income Limits, Mortgage, Amort'!$A$3:$R$31,3))</f>
        <v/>
      </c>
      <c r="D1052" s="479"/>
      <c r="E1052" s="534" t="str">
        <f>IF($C$1050="","",VLOOKUP($C$1050,'Income Limits, Mortgage, Amort'!$A$3:$R$31,11))</f>
        <v/>
      </c>
      <c r="F1052" s="535"/>
      <c r="G1052" s="639" t="str">
        <f>IF($C$1050="","",VLOOKUP($C$1050,'Income Limits, Mortgage, Amort'!$A$3:$R$31,3)*2*0.3)</f>
        <v/>
      </c>
      <c r="H1052" s="639"/>
      <c r="I1052" s="536" t="str">
        <f>IF($C$1050="","",VLOOKUP($C$1050,'Income Limits, Mortgage, Amort'!$A$3:$R$31,3)*2*1.2)</f>
        <v/>
      </c>
      <c r="J1052" s="537"/>
      <c r="K1052" s="295"/>
    </row>
    <row r="1053" spans="1:11" x14ac:dyDescent="0.2">
      <c r="A1053"/>
      <c r="B1053">
        <v>2</v>
      </c>
      <c r="C1053" s="479" t="str">
        <f>IF($C$1050="","",VLOOKUP($C$1050,'Income Limits, Mortgage, Amort'!$A$3:$R$31,4))</f>
        <v/>
      </c>
      <c r="D1053" s="479"/>
      <c r="E1053" s="534" t="str">
        <f>IF($C$1050="","",VLOOKUP($C$1050,'Income Limits, Mortgage, Amort'!$A$3:$R$31,12))</f>
        <v/>
      </c>
      <c r="F1053" s="535"/>
      <c r="G1053" s="639" t="str">
        <f>IF($C$1050="","",VLOOKUP($C$1050,'Income Limits, Mortgage, Amort'!$A$3:$R$31,4)*2*0.3)</f>
        <v/>
      </c>
      <c r="H1053" s="639"/>
      <c r="I1053" s="536" t="str">
        <f>IF($C$1050="","",VLOOKUP($C$1050,'Income Limits, Mortgage, Amort'!$A$3:$R$31,4)*2*1.2)</f>
        <v/>
      </c>
      <c r="J1053" s="537"/>
      <c r="K1053" s="295"/>
    </row>
    <row r="1054" spans="1:11" x14ac:dyDescent="0.2">
      <c r="A1054"/>
      <c r="B1054">
        <v>3</v>
      </c>
      <c r="C1054" s="479" t="str">
        <f>IF($C$1050="","",VLOOKUP($C$1050,'Income Limits, Mortgage, Amort'!$A$3:$R$31,5))</f>
        <v/>
      </c>
      <c r="D1054" s="479"/>
      <c r="E1054" s="534" t="str">
        <f>IF($C$1050="","",VLOOKUP($C$1050,'Income Limits, Mortgage, Amort'!$A$3:$R$31,13))</f>
        <v/>
      </c>
      <c r="F1054" s="535"/>
      <c r="G1054" s="639" t="str">
        <f>IF($C$1050="","",VLOOKUP($C$1050,'Income Limits, Mortgage, Amort'!$A$3:$R$31,5)*2*0.3)</f>
        <v/>
      </c>
      <c r="H1054" s="639"/>
      <c r="I1054" s="536" t="str">
        <f>IF($C$1050="","",VLOOKUP($C$1050,'Income Limits, Mortgage, Amort'!$A$3:$R$31,5)*2*1.2)</f>
        <v/>
      </c>
      <c r="J1054" s="537"/>
      <c r="K1054" s="295"/>
    </row>
    <row r="1055" spans="1:11" x14ac:dyDescent="0.2">
      <c r="A1055"/>
      <c r="B1055">
        <v>4</v>
      </c>
      <c r="C1055" s="479" t="str">
        <f>IF($C$1050="","",VLOOKUP($C$1050,'Income Limits, Mortgage, Amort'!$A$3:$R$31,6))</f>
        <v/>
      </c>
      <c r="D1055" s="479"/>
      <c r="E1055" s="534" t="str">
        <f>IF($C$1050="","",VLOOKUP($C$1050,'Income Limits, Mortgage, Amort'!$A$3:$R$31,14))</f>
        <v/>
      </c>
      <c r="F1055" s="535"/>
      <c r="G1055" s="639" t="str">
        <f>IF($C$1050="","",VLOOKUP($C$1050,'Income Limits, Mortgage, Amort'!$A$3:$R$31,6)*2*0.3)</f>
        <v/>
      </c>
      <c r="H1055" s="639"/>
      <c r="I1055" s="536" t="str">
        <f>IF($C$1050="","",VLOOKUP($C$1050,'Income Limits, Mortgage, Amort'!$A$3:$R$31,6)*2*1.2)</f>
        <v/>
      </c>
      <c r="J1055" s="537"/>
      <c r="K1055" s="295"/>
    </row>
    <row r="1056" spans="1:11" x14ac:dyDescent="0.2">
      <c r="A1056"/>
      <c r="B1056">
        <v>5</v>
      </c>
      <c r="C1056" s="479" t="str">
        <f>IF($C$1050="","",VLOOKUP($C$1050,'Income Limits, Mortgage, Amort'!$A$3:$R$31,7))</f>
        <v/>
      </c>
      <c r="D1056" s="479"/>
      <c r="E1056" s="534" t="str">
        <f>IF($C$1050="","",VLOOKUP($C$1050,'Income Limits, Mortgage, Amort'!$A$3:$R$31,15))</f>
        <v/>
      </c>
      <c r="F1056" s="535"/>
      <c r="G1056" s="639" t="str">
        <f>IF($C$1050="","",VLOOKUP($C$1050,'Income Limits, Mortgage, Amort'!$A$3:$R$31,7)*2*0.3)</f>
        <v/>
      </c>
      <c r="H1056" s="639"/>
      <c r="I1056" s="536" t="str">
        <f>IF($C$1050="","",VLOOKUP($C$1050,'Income Limits, Mortgage, Amort'!$A$3:$R$31,7)*2*1.2)</f>
        <v/>
      </c>
      <c r="J1056" s="537"/>
      <c r="K1056" s="295"/>
    </row>
    <row r="1057" spans="1:12" x14ac:dyDescent="0.2">
      <c r="A1057"/>
      <c r="B1057">
        <v>6</v>
      </c>
      <c r="C1057" s="479" t="str">
        <f>IF($C$1050="","",VLOOKUP($C$1050,'Income Limits, Mortgage, Amort'!$A$3:$R$31,8))</f>
        <v/>
      </c>
      <c r="D1057" s="479"/>
      <c r="E1057" s="534" t="str">
        <f>IF($C$1050="","",VLOOKUP($C$1050,'Income Limits, Mortgage, Amort'!$A$3:$R$31,16))</f>
        <v/>
      </c>
      <c r="F1057" s="535"/>
      <c r="G1057" s="639" t="str">
        <f>IF($C$1050="","",VLOOKUP($C$1050,'Income Limits, Mortgage, Amort'!$A$3:$R$31,8)*2*0.3)</f>
        <v/>
      </c>
      <c r="H1057" s="639"/>
      <c r="I1057" s="536" t="str">
        <f>IF($C$1050="","",VLOOKUP($C$1050,'Income Limits, Mortgage, Amort'!$A$3:$R$31,8)*2*1.2)</f>
        <v/>
      </c>
      <c r="J1057" s="537"/>
      <c r="K1057" s="295"/>
    </row>
    <row r="1058" spans="1:12" x14ac:dyDescent="0.2">
      <c r="A1058"/>
      <c r="B1058">
        <v>7</v>
      </c>
      <c r="C1058" s="479" t="str">
        <f>IF($C$1050="","",VLOOKUP($C$1050,'Income Limits, Mortgage, Amort'!$A$3:$R$31,9))</f>
        <v/>
      </c>
      <c r="D1058" s="479"/>
      <c r="E1058" s="534" t="str">
        <f>IF($C$1050="","",VLOOKUP($C$1050,'Income Limits, Mortgage, Amort'!$A$3:$R$31,17))</f>
        <v/>
      </c>
      <c r="F1058" s="535"/>
      <c r="G1058" s="639" t="str">
        <f>IF($C$1050="","",VLOOKUP($C$1050,'Income Limits, Mortgage, Amort'!$A$3:$R$31,9)*2*0.3)</f>
        <v/>
      </c>
      <c r="H1058" s="639"/>
      <c r="I1058" s="536" t="str">
        <f>IF($C$1050="","",VLOOKUP($C$1050,'Income Limits, Mortgage, Amort'!$A$3:$R$31,9)*2*1.2)</f>
        <v/>
      </c>
      <c r="J1058" s="537"/>
      <c r="K1058" s="295"/>
    </row>
    <row r="1059" spans="1:12" x14ac:dyDescent="0.2">
      <c r="A1059"/>
      <c r="B1059">
        <v>8</v>
      </c>
      <c r="C1059" s="479" t="str">
        <f>IF($C$1050="","",VLOOKUP($C$1050,'Income Limits, Mortgage, Amort'!$A$3:$R$31,10))</f>
        <v/>
      </c>
      <c r="D1059" s="479"/>
      <c r="E1059" s="534" t="str">
        <f>IF($C$1050="","",VLOOKUP($C$1050,'Income Limits, Mortgage, Amort'!$A$3:$R$31,18))</f>
        <v/>
      </c>
      <c r="F1059" s="535"/>
      <c r="G1059" s="639" t="str">
        <f>IF($C$1050="","",VLOOKUP($C$1050,'Income Limits, Mortgage, Amort'!$A$3:$R$31,10)*2*0.3)</f>
        <v/>
      </c>
      <c r="H1059" s="639"/>
      <c r="I1059" s="536" t="str">
        <f>IF($C$1050="","",VLOOKUP($C$1050,'Income Limits, Mortgage, Amort'!$A$3:$R$31,10)*2*1.2)</f>
        <v/>
      </c>
      <c r="J1059" s="537"/>
      <c r="K1059" s="295"/>
    </row>
    <row r="1060" spans="1:12" x14ac:dyDescent="0.2">
      <c r="A1060"/>
      <c r="B1060"/>
      <c r="C1060"/>
      <c r="D1060"/>
      <c r="E1060"/>
      <c r="F1060"/>
      <c r="G1060"/>
      <c r="H1060"/>
      <c r="I1060"/>
      <c r="J1060"/>
      <c r="K1060" s="295"/>
    </row>
    <row r="1061" spans="1:12" x14ac:dyDescent="0.2">
      <c r="A1061" t="s">
        <v>279</v>
      </c>
      <c r="B1061"/>
      <c r="C1061"/>
      <c r="D1061" s="185" t="str">
        <f>IF(C1050="","",(((B1023*C1023)+(B1024*C1024)+(B1025*C1025)+(B1026*C1026)+(B1027*C1027))/B1028))</f>
        <v/>
      </c>
      <c r="E1061"/>
      <c r="F1061"/>
      <c r="G1061"/>
      <c r="H1061"/>
      <c r="I1061"/>
      <c r="J1061"/>
      <c r="K1061" s="295"/>
    </row>
    <row r="1062" spans="1:12" x14ac:dyDescent="0.2">
      <c r="A1062"/>
      <c r="B1062"/>
      <c r="C1062"/>
      <c r="D1062"/>
      <c r="E1062"/>
      <c r="F1062"/>
      <c r="G1062"/>
      <c r="H1062"/>
      <c r="I1062"/>
      <c r="J1062"/>
      <c r="K1062" s="295"/>
    </row>
    <row r="1063" spans="1:12" x14ac:dyDescent="0.2">
      <c r="A1063" s="441" t="s">
        <v>1060</v>
      </c>
      <c r="B1063" s="441"/>
      <c r="C1063" s="441"/>
      <c r="D1063" s="441"/>
      <c r="E1063" s="441"/>
      <c r="F1063" s="441"/>
      <c r="G1063" s="441"/>
      <c r="H1063" s="441"/>
      <c r="I1063" s="441"/>
      <c r="J1063" s="441"/>
      <c r="K1063" s="295"/>
    </row>
    <row r="1064" spans="1:12" x14ac:dyDescent="0.2">
      <c r="A1064" s="441" t="s">
        <v>1061</v>
      </c>
      <c r="B1064" s="441"/>
      <c r="C1064" s="441"/>
      <c r="D1064" s="441"/>
      <c r="E1064" s="441"/>
      <c r="F1064" s="441"/>
      <c r="G1064" s="441"/>
      <c r="H1064" s="441"/>
      <c r="I1064" s="441"/>
      <c r="J1064" s="441"/>
      <c r="K1064" s="295"/>
    </row>
    <row r="1065" spans="1:12" x14ac:dyDescent="0.2">
      <c r="A1065" s="441" t="s">
        <v>88</v>
      </c>
      <c r="B1065" s="441"/>
      <c r="C1065" s="441"/>
      <c r="D1065" s="441"/>
      <c r="E1065" s="441"/>
      <c r="F1065" s="441"/>
      <c r="G1065" s="441"/>
      <c r="H1065" s="441"/>
      <c r="I1065" s="441"/>
      <c r="J1065" s="441"/>
      <c r="K1065" s="295"/>
    </row>
    <row r="1066" spans="1:12" x14ac:dyDescent="0.2">
      <c r="A1066" s="26"/>
      <c r="B1066" s="9"/>
      <c r="C1066" s="9"/>
      <c r="D1066" s="446" t="str">
        <f>IF($B$229="","",$B$229)</f>
        <v/>
      </c>
      <c r="E1066" s="446"/>
      <c r="F1066" s="446"/>
      <c r="G1066" s="446"/>
      <c r="H1066" s="9"/>
      <c r="I1066" s="27"/>
      <c r="J1066" s="9"/>
      <c r="K1066" s="295"/>
    </row>
    <row r="1067" spans="1:12" x14ac:dyDescent="0.2">
      <c r="A1067" s="9"/>
      <c r="B1067" s="9"/>
      <c r="C1067" s="9"/>
      <c r="D1067" s="443" t="s">
        <v>1143</v>
      </c>
      <c r="E1067" s="443"/>
      <c r="F1067" s="443"/>
      <c r="G1067" s="443"/>
      <c r="H1067" s="9"/>
      <c r="I1067" s="9"/>
      <c r="J1067" s="9"/>
      <c r="K1067" s="295"/>
    </row>
    <row r="1068" spans="1:12" x14ac:dyDescent="0.2">
      <c r="A1068" s="443" t="s">
        <v>787</v>
      </c>
      <c r="B1068" s="443"/>
      <c r="C1068" s="443"/>
      <c r="D1068" s="443"/>
      <c r="E1068" s="443"/>
      <c r="F1068" s="443"/>
      <c r="G1068" s="443"/>
      <c r="H1068" s="443"/>
      <c r="I1068" s="443"/>
      <c r="J1068" s="443"/>
      <c r="K1068" s="295"/>
    </row>
    <row r="1069" spans="1:12" x14ac:dyDescent="0.2">
      <c r="A1069" s="1"/>
      <c r="B1069" s="1"/>
      <c r="C1069" s="1"/>
      <c r="D1069" s="1"/>
      <c r="E1069" s="1"/>
      <c r="F1069" s="1"/>
      <c r="G1069" s="1"/>
      <c r="H1069" s="1"/>
      <c r="I1069" s="1"/>
      <c r="J1069" s="1"/>
      <c r="K1069" s="295"/>
    </row>
    <row r="1070" spans="1:12" x14ac:dyDescent="0.2">
      <c r="A1070" s="36" t="s">
        <v>1099</v>
      </c>
      <c r="B1070" s="1"/>
      <c r="C1070" s="1"/>
      <c r="D1070" s="1"/>
      <c r="E1070" s="1"/>
      <c r="F1070" s="1"/>
      <c r="G1070" s="1"/>
      <c r="H1070" s="1"/>
      <c r="I1070" s="1"/>
      <c r="J1070" s="1"/>
      <c r="K1070" s="295"/>
    </row>
    <row r="1071" spans="1:12" ht="13.15" customHeight="1" x14ac:dyDescent="0.2">
      <c r="A1071" s="640" t="s">
        <v>788</v>
      </c>
      <c r="B1071" s="640"/>
      <c r="C1071" s="640"/>
      <c r="D1071" s="441" t="s">
        <v>283</v>
      </c>
      <c r="E1071" s="441"/>
      <c r="F1071" s="441"/>
      <c r="G1071" s="441"/>
      <c r="H1071" s="441"/>
      <c r="I1071" s="441"/>
      <c r="J1071" s="441"/>
      <c r="K1071" s="295"/>
    </row>
    <row r="1072" spans="1:12" ht="13.15" customHeight="1" x14ac:dyDescent="0.2">
      <c r="A1072" s="9"/>
      <c r="B1072" s="190"/>
      <c r="C1072" s="34" t="s">
        <v>1101</v>
      </c>
      <c r="D1072" s="28">
        <v>1</v>
      </c>
      <c r="E1072" s="28">
        <v>2</v>
      </c>
      <c r="F1072" s="28">
        <v>3</v>
      </c>
      <c r="G1072" s="28">
        <v>4</v>
      </c>
      <c r="H1072" s="28">
        <v>5</v>
      </c>
      <c r="I1072" s="28">
        <v>6</v>
      </c>
      <c r="J1072" s="152"/>
      <c r="K1072" s="295"/>
      <c r="L1072" s="313">
        <v>7</v>
      </c>
    </row>
    <row r="1073" spans="1:12" x14ac:dyDescent="0.2">
      <c r="A1073" s="193" t="s">
        <v>1082</v>
      </c>
      <c r="B1073" s="192" t="s">
        <v>1083</v>
      </c>
      <c r="C1073" s="192" t="s">
        <v>1100</v>
      </c>
      <c r="D1073" s="348" t="s">
        <v>1102</v>
      </c>
      <c r="E1073" s="348" t="s">
        <v>1103</v>
      </c>
      <c r="F1073" s="348" t="s">
        <v>1103</v>
      </c>
      <c r="G1073" s="348" t="s">
        <v>1103</v>
      </c>
      <c r="H1073" s="348" t="s">
        <v>1103</v>
      </c>
      <c r="I1073" s="348"/>
      <c r="J1073" s="190" t="s">
        <v>786</v>
      </c>
      <c r="K1073" s="295"/>
      <c r="L1073" s="23">
        <v>8</v>
      </c>
    </row>
    <row r="1074" spans="1:12" x14ac:dyDescent="0.2">
      <c r="A1074" s="331">
        <f>IF(A1023="","",A1023)</f>
        <v>0</v>
      </c>
      <c r="B1074" s="63" t="str">
        <f>IF(G1023="","",G1023)</f>
        <v/>
      </c>
      <c r="C1074" s="191" t="str">
        <f>IF(B1074="","",PMT($F$1081/12,$I$1081*12,-B1074))</f>
        <v/>
      </c>
      <c r="D1074" s="226" t="str">
        <f>IF(C1074="","",C1074/(IF($C$1081=30%,$G$1052,IF($C$1081=50%,$C$1052,IF($C$1081=80%,$E$1052,$I$1052)))/12))</f>
        <v/>
      </c>
      <c r="E1074" s="226" t="str">
        <f>IF(C1074="","",C1074/(IF($C$1081=30%,$G$1053,IF($C$1081=50%,$C$1053,IF($C$1081=80%,$E$1053,$I$1053)))/12))</f>
        <v/>
      </c>
      <c r="F1074" s="226" t="str">
        <f>IF(C1074="","",C1074/(IF($C$1081=30%,$G$1054,IF($C$1081=50%,$C$1054,IF($C$1081=80%,$E$1054,$I$1054)))/12))</f>
        <v/>
      </c>
      <c r="G1074" s="226" t="str">
        <f>IF(C1074="","",C1074/(IF($C$1081=30%,$G$1055,IF($C$1081=50%,$C$1055,IF($C$1081=80%,$E$1055,$I$1055)))/12))</f>
        <v/>
      </c>
      <c r="H1074" s="226" t="str">
        <f>IF(C1074="","",C1074/(IF($C$1081=30%,$G$1056,IF($C$1081=50%,$C$1056,IF($C$1081=80%,$E$1056,$I$1056)))/12))</f>
        <v/>
      </c>
      <c r="I1074" s="226" t="str">
        <f>IF(C1074="","",C1074/(IF($C$1081=30%,$G$1057,IF($C$1081=50%,$C$1057,IF($C$1081=80%,$E$1057,$I$1057)))/12))</f>
        <v/>
      </c>
      <c r="J1074" s="226" t="str">
        <f>IF($J$1072=7,IF(C1074="","",C1074/(IF($C$1081=30%,$G$1058,IF($C$1081=50%,$C$1058,IF($C$1081=80%,$E$1058,$I$1058)))/12)),IF(C1074="","",C1074/(IF($C$1081=30%,$G$1059,IF($C$1081=50%,$C$1059,IF($C$1081=80%,$E$1059,$I$1059)))/12)))</f>
        <v/>
      </c>
      <c r="K1074" s="295"/>
    </row>
    <row r="1075" spans="1:12" ht="12.75" customHeight="1" x14ac:dyDescent="0.2">
      <c r="A1075" s="331">
        <f>IF(A1024="","",A1024)</f>
        <v>1</v>
      </c>
      <c r="B1075" s="63" t="str">
        <f>IF(G1024="","",G1024)</f>
        <v/>
      </c>
      <c r="C1075" s="191" t="str">
        <f>IF(B1075="","",PMT($F$1081/12,$I$1081*12,-B1075))</f>
        <v/>
      </c>
      <c r="D1075" s="226" t="str">
        <f>IF(C1075="","",C1075/(IF($C$1081=30%,$G$1052,IF($C$1081=50%,$C$1052,IF($C$1081=80%,$E$1052,$I$1052)))/12))</f>
        <v/>
      </c>
      <c r="E1075" s="226" t="str">
        <f>IF(C1075="","",C1075/(IF($C$1081=30%,$G$1053,IF($C$1081=50%,$C$1053,IF($C$1081=80%,$E$1053,$I$1053)))/12))</f>
        <v/>
      </c>
      <c r="F1075" s="226" t="str">
        <f>IF(C1075="","",C1075/(IF($C$1081=30%,$G$1054,IF($C$1081=50%,$C$1054,IF($C$1081=80%,$E$1054,$I$1054)))/12))</f>
        <v/>
      </c>
      <c r="G1075" s="226" t="str">
        <f>IF(C1075="","",C1075/(IF($C$1081=30%,$G$1055,IF($C$1081=50%,$C$1055,IF($C$1081=80%,$E$1055,$I$1055)))/12))</f>
        <v/>
      </c>
      <c r="H1075" s="226" t="str">
        <f>IF(C1075="","",C1075/(IF($C$1081=30%,$G$1056,IF($C$1081=50%,$C$1056,IF($C$1081=80%,$E$1056,$I$1056)))/12))</f>
        <v/>
      </c>
      <c r="I1075" s="226" t="str">
        <f>IF(C1075="","",C1075/(IF($C$1081=30%,$G$1057,IF($C$1081=50%,$C$1057,IF($C$1081=80%,$E$1057,$I$1057)))/12))</f>
        <v/>
      </c>
      <c r="J1075" s="226" t="str">
        <f>IF($J$1072=7,IF(C1075="","",C1075/(IF($C$1081=30%,$G$1058,IF($C$1081=50%,$C$1058,IF($C$1081=80%,$E$1058,$I$1058)))/12)),IF(C1075="","",C1075/(IF($C$1081=30%,$G$1059,IF($C$1081=50%,$C$1059,IF($C$1081=80%,$E$1059,$I$1059)))/12)))</f>
        <v/>
      </c>
      <c r="K1075" s="295"/>
    </row>
    <row r="1076" spans="1:12" ht="12.75" customHeight="1" x14ac:dyDescent="0.2">
      <c r="A1076" s="331">
        <f>IF(A1025="","",A1025)</f>
        <v>2</v>
      </c>
      <c r="B1076" s="63" t="str">
        <f>IF(G1025="","",G1025)</f>
        <v/>
      </c>
      <c r="C1076" s="191" t="str">
        <f>IF(B1076="","",PMT($F$1081/12,$I$1081*12,-B1076))</f>
        <v/>
      </c>
      <c r="D1076" s="226" t="str">
        <f>IF(C1076="","",C1076/(IF($C$1081=30%,$G$1052,IF($C$1081=50%,$C$1052,IF($C$1081=80%,$E$1052,$I$1052)))/12))</f>
        <v/>
      </c>
      <c r="E1076" s="226" t="str">
        <f>IF(C1076="","",C1076/(IF($C$1081=30%,$G$1053,IF($C$1081=50%,$C$1053,IF($C$1081=80%,$E$1053,$I$1053)))/12))</f>
        <v/>
      </c>
      <c r="F1076" s="226" t="str">
        <f>IF(C1076="","",C1076/(IF($C$1081=30%,$G$1054,IF($C$1081=50%,$C$1054,IF($C$1081=80%,$E$1054,$I$1054)))/12))</f>
        <v/>
      </c>
      <c r="G1076" s="226" t="str">
        <f>IF(C1076="","",C1076/(IF($C$1081=30%,$G$1055,IF($C$1081=50%,$C$1055,IF($C$1081=80%,$E$1055,$I$1055)))/12))</f>
        <v/>
      </c>
      <c r="H1076" s="226" t="str">
        <f>IF(C1076="","",C1076/(IF($C$1081=30%,$G$1056,IF($C$1081=50%,$C$1056,IF($C$1081=80%,$E$1056,$I$1056)))/12))</f>
        <v/>
      </c>
      <c r="I1076" s="226" t="str">
        <f>IF(C1076="","",C1076/(IF($C$1081=30%,$G$1057,IF($C$1081=50%,$C$1057,IF($C$1081=80%,$E$1057,$I$1057)))/12))</f>
        <v/>
      </c>
      <c r="J1076" s="226" t="str">
        <f>IF($J$1072=7,IF(C1076="","",C1076/(IF($C$1081=30%,$G$1058,IF($C$1081=50%,$C$1058,IF($C$1081=80%,$E$1058,$I$1058)))/12)),IF(C1076="","",C1076/(IF($C$1081=30%,$G$1059,IF($C$1081=50%,$C$1059,IF($C$1081=80%,$E$1059,$I$1059)))/12)))</f>
        <v/>
      </c>
      <c r="K1076" s="295"/>
    </row>
    <row r="1077" spans="1:12" x14ac:dyDescent="0.2">
      <c r="A1077" s="331">
        <f>IF(A1026="","",A1026)</f>
        <v>3</v>
      </c>
      <c r="B1077" s="63" t="str">
        <f>IF(G1026="","",G1026)</f>
        <v/>
      </c>
      <c r="C1077" s="191" t="str">
        <f>IF(B1077="","",PMT($F$1081/12,$I$1081*12,-B1077))</f>
        <v/>
      </c>
      <c r="D1077" s="226" t="str">
        <f>IF(C1077="","",C1077/(IF($C$1081=30%,$G$1052,IF($C$1081=50%,$C$1052,IF($C$1081=80%,$E$1052,$I$1052)))/12))</f>
        <v/>
      </c>
      <c r="E1077" s="226" t="str">
        <f>IF(C1077="","",C1077/(IF($C$1081=30%,$G$1053,IF($C$1081=50%,$C$1053,IF($C$1081=80%,$E$1053,$I$1053)))/12))</f>
        <v/>
      </c>
      <c r="F1077" s="226" t="str">
        <f>IF(C1077="","",C1077/(IF($C$1081=30%,$G$1054,IF($C$1081=50%,$C$1054,IF($C$1081=80%,$E$1054,$I$1054)))/12))</f>
        <v/>
      </c>
      <c r="G1077" s="226" t="str">
        <f>IF(C1077="","",C1077/(IF($C$1081=30%,$G$1055,IF($C$1081=50%,$C$1055,IF($C$1081=80%,$E$1055,$I$1055)))/12))</f>
        <v/>
      </c>
      <c r="H1077" s="226" t="str">
        <f>IF(C1077="","",C1077/(IF($C$1081=30%,$G$1056,IF($C$1081=50%,$C$1056,IF($C$1081=80%,$E$1056,$I$1056)))/12))</f>
        <v/>
      </c>
      <c r="I1077" s="226" t="str">
        <f>IF(C1077="","",C1077/(IF($C$1081=30%,$G$1057,IF($C$1081=50%,$C$1057,IF($C$1081=80%,$E$1057,$I$1057)))/12))</f>
        <v/>
      </c>
      <c r="J1077" s="226" t="str">
        <f>IF($J$1072=7,IF(C1077="","",C1077/(IF($C$1081=30%,$G$1058,IF($C$1081=50%,$C$1058,IF($C$1081=80%,$E$1058,$I$1058)))/12)),IF(C1077="","",C1077/(IF($C$1081=30%,$G$1059,IF($C$1081=50%,$C$1059,IF($C$1081=80%,$E$1059,$I$1059)))/12)))</f>
        <v/>
      </c>
      <c r="K1077" s="295"/>
      <c r="L1077" s="187"/>
    </row>
    <row r="1078" spans="1:12" x14ac:dyDescent="0.2">
      <c r="A1078" s="331">
        <f>IF(A1027="","",A1027)</f>
        <v>4</v>
      </c>
      <c r="B1078" s="63" t="str">
        <f>IF(G1027="","",G1027)</f>
        <v/>
      </c>
      <c r="C1078" s="191" t="str">
        <f>IF(B1078="","",PMT($F$1081/12,$I$1081*12,-B1078))</f>
        <v/>
      </c>
      <c r="D1078" s="226" t="str">
        <f>IF(C1078="","",C1078/(IF($C$1081=30%,$G$1052,IF($C$1081=50%,$C$1052,IF($C$1081=80%,$E$1052,$I$1052)))/12))</f>
        <v/>
      </c>
      <c r="E1078" s="226" t="str">
        <f>IF(C1078="","",C1078/(IF($C$1081=30%,$G$1053,IF($C$1081=50%,$C$1053,IF($C$1081=80%,$E$1053,$I$1053)))/12))</f>
        <v/>
      </c>
      <c r="F1078" s="226" t="str">
        <f>IF(C1078="","",C1078/(IF($C$1081=30%,$G$1054,IF($C$1081=50%,$C$1054,IF($C$1081=80%,$E$1054,$I$1054)))/12))</f>
        <v/>
      </c>
      <c r="G1078" s="226" t="str">
        <f>IF(C1078="","",C1078/(IF($C$1081=30%,$G$1055,IF($C$1081=50%,$C$1055,IF($C$1081=80%,$E$1055,$I$1055)))/12))</f>
        <v/>
      </c>
      <c r="H1078" s="226" t="str">
        <f>IF(C1078="","",C1078/(IF($C$1081=30%,$G$1056,IF($C$1081=50%,$C$1056,IF($C$1081=80%,$E$1056,$I$1056)))/12))</f>
        <v/>
      </c>
      <c r="I1078" s="226" t="str">
        <f>IF(C1078="","",C1078/(IF($C$1081=30%,$G$1057,IF($C$1081=50%,$C$1057,IF($C$1081=80%,$E$1057,$I$1057)))/12))</f>
        <v/>
      </c>
      <c r="J1078" s="226" t="str">
        <f>IF($J$1072=7,IF(C1078="","",C1078/(IF($C$1081=30%,$G$1058,IF($C$1081=50%,$C$1058,IF($C$1081=80%,$E$1058,$I$1058)))/12)),IF(C1078="","",C1078/(IF($C$1081=30%,$G$1059,IF($C$1081=50%,$C$1059,IF($C$1081=80%,$E$1059,$I$1059)))/12)))</f>
        <v/>
      </c>
      <c r="K1078" s="295"/>
    </row>
    <row r="1079" spans="1:12" ht="12.75" customHeight="1" x14ac:dyDescent="0.2">
      <c r="A1079"/>
      <c r="B1079" s="320"/>
      <c r="C1079" s="321"/>
      <c r="D1079" s="322"/>
      <c r="E1079" s="322"/>
      <c r="F1079" s="322"/>
      <c r="G1079" s="322"/>
      <c r="H1079" s="322"/>
      <c r="I1079" s="322"/>
      <c r="J1079" s="322"/>
      <c r="K1079" s="295"/>
    </row>
    <row r="1080" spans="1:12" x14ac:dyDescent="0.2">
      <c r="A1080"/>
      <c r="B1080" s="327" t="s">
        <v>1079</v>
      </c>
      <c r="C1080" s="324"/>
      <c r="D1080" s="325"/>
      <c r="E1080" s="325"/>
      <c r="F1080" s="325"/>
      <c r="G1080" s="325"/>
      <c r="H1080" s="325"/>
      <c r="I1080" s="325"/>
      <c r="J1080" s="325"/>
      <c r="K1080" s="295"/>
    </row>
    <row r="1081" spans="1:12" x14ac:dyDescent="0.2">
      <c r="A1081"/>
      <c r="B1081" s="326" t="s">
        <v>280</v>
      </c>
      <c r="C1081" s="82" t="str">
        <f>IF(B1106="","",B1106)</f>
        <v/>
      </c>
      <c r="D1081" s="325"/>
      <c r="E1081" s="328" t="s">
        <v>281</v>
      </c>
      <c r="F1081" s="189"/>
      <c r="G1081" s="325"/>
      <c r="H1081" s="328" t="s">
        <v>282</v>
      </c>
      <c r="I1081" s="309"/>
      <c r="J1081" s="325"/>
      <c r="K1081" s="295"/>
    </row>
    <row r="1082" spans="1:12" x14ac:dyDescent="0.2">
      <c r="A1082"/>
      <c r="B1082" s="323"/>
      <c r="C1082" s="324"/>
      <c r="D1082" s="325"/>
      <c r="E1082" s="325"/>
      <c r="F1082" s="325"/>
      <c r="G1082" s="325"/>
      <c r="H1082" s="325"/>
      <c r="I1082" s="325"/>
      <c r="J1082" s="325"/>
      <c r="K1082" s="295"/>
      <c r="L1082" s="186"/>
    </row>
    <row r="1083" spans="1:12" x14ac:dyDescent="0.2">
      <c r="A1083" s="640" t="s">
        <v>789</v>
      </c>
      <c r="B1083" s="640"/>
      <c r="C1083" s="640"/>
      <c r="D1083" s="526" t="s">
        <v>283</v>
      </c>
      <c r="E1083" s="526"/>
      <c r="F1083" s="526"/>
      <c r="G1083" s="526"/>
      <c r="H1083" s="526"/>
      <c r="I1083" s="526"/>
      <c r="J1083" s="526"/>
      <c r="K1083" s="295"/>
    </row>
    <row r="1084" spans="1:12" ht="12.75" customHeight="1" x14ac:dyDescent="0.2">
      <c r="A1084" s="1"/>
      <c r="B1084" s="190"/>
      <c r="C1084" s="34" t="s">
        <v>1101</v>
      </c>
      <c r="D1084" s="306">
        <v>1</v>
      </c>
      <c r="E1084" s="306">
        <v>2</v>
      </c>
      <c r="F1084" s="306">
        <v>3</v>
      </c>
      <c r="G1084" s="306">
        <v>4</v>
      </c>
      <c r="H1084" s="306">
        <v>5</v>
      </c>
      <c r="I1084" s="306">
        <v>6</v>
      </c>
      <c r="J1084" s="369" t="str">
        <f>IF(J1072="","",J1072)</f>
        <v/>
      </c>
      <c r="K1084" s="295"/>
    </row>
    <row r="1085" spans="1:12" x14ac:dyDescent="0.2">
      <c r="A1085" s="193" t="s">
        <v>1082</v>
      </c>
      <c r="B1085" s="192" t="s">
        <v>1083</v>
      </c>
      <c r="C1085" s="192" t="s">
        <v>1100</v>
      </c>
      <c r="D1085" s="348" t="s">
        <v>1102</v>
      </c>
      <c r="E1085" s="348" t="s">
        <v>1103</v>
      </c>
      <c r="F1085" s="348" t="s">
        <v>1103</v>
      </c>
      <c r="G1085" s="348" t="s">
        <v>1103</v>
      </c>
      <c r="H1085" s="348" t="s">
        <v>1103</v>
      </c>
      <c r="I1085" s="348" t="s">
        <v>1103</v>
      </c>
      <c r="J1085" s="348" t="s">
        <v>1103</v>
      </c>
      <c r="K1085" s="295"/>
    </row>
    <row r="1086" spans="1:12" x14ac:dyDescent="0.2">
      <c r="A1086" s="331">
        <f>IF(A1023="","",A1023)</f>
        <v>0</v>
      </c>
      <c r="B1086" s="63" t="str">
        <f>IF(H1023="","",H1023)</f>
        <v/>
      </c>
      <c r="C1086" s="225" t="str">
        <f>IF(B1086="","",IF($I$1093="Full-Amort",PMT($E$1093/12,$G$1093*12,-B1086),"$0.00"))</f>
        <v/>
      </c>
      <c r="D1086" s="226" t="str">
        <f>IF(C1086="","",C1086/(IF($C$1081=30%,$G$1052,IF($C$1081=50%,$C$1052,IF($C$1081=80%,$E$1052,$I$1052)))/12))</f>
        <v/>
      </c>
      <c r="E1086" s="226" t="str">
        <f>IF(C1086="","",C1086/(IF($C$1081=30%,$G$1053,IF($C$1081=50%,$C$1053,IF($C$1081=80%,$E$1053,$I$1053)))/12))</f>
        <v/>
      </c>
      <c r="F1086" s="226" t="str">
        <f>IF(C1086="","",C1086/(IF($C$1081=30%,$G$1054,IF($C$1081=50%,$C$1054,IF($C$1081=80%,$E$1054,$I$1054)))/12))</f>
        <v/>
      </c>
      <c r="G1086" s="226" t="str">
        <f>IF(C1086="","",C1086/(IF($C$1081=30%,$G$1055,IF($C$1081=50%,$C$1055,IF($C$1081=80%,$E$1055,$I$1055)))/12))</f>
        <v/>
      </c>
      <c r="H1086" s="226" t="str">
        <f>IF(C1086="","",C1086/(IF($C$1081=30%,$G$1056,IF($C$1081=50%,$C$1056,IF($C$1081=80%,$E$1056,$I$1056)))/12))</f>
        <v/>
      </c>
      <c r="I1086" s="226" t="str">
        <f>IF(C1086="","",C1086/(IF($C$1081=30%,$G$1057,IF($C$1081=50%,$C$1057,IF($C$1081=80%,$E$1057,$I$1057)))/12))</f>
        <v/>
      </c>
      <c r="J1086" s="226" t="str">
        <f>IF($J$1072=7,IF(C1086="","",C1086/(IF($C$1081=30%,$G$1058,IF($C$1081=50%,$C$1058,IF($C$1081=80%,$E$1058,$I$1058)))/12)),IF(C1086="","",C1086/(IF($C$1081=30%,$G$1059,IF($C$1081=50%,$C$1059,IF($C$1081=80%,$E$1059,$I$1059)))/12)))</f>
        <v/>
      </c>
      <c r="K1086" s="295"/>
    </row>
    <row r="1087" spans="1:12" ht="12.75" customHeight="1" x14ac:dyDescent="0.2">
      <c r="A1087" s="331">
        <f>IF(A1024="","",A1024)</f>
        <v>1</v>
      </c>
      <c r="B1087" s="63" t="str">
        <f>IF(H1024="","",H1024)</f>
        <v/>
      </c>
      <c r="C1087" s="225" t="str">
        <f>IF(B1087="","",IF($I$1093="Full-Amort",PMT($E$1093/12,$G$1093*12,-B1087),"$0.00"))</f>
        <v/>
      </c>
      <c r="D1087" s="226" t="str">
        <f>IF(C1087="","",C1087/(IF($C$1081=30%,$G$1052,IF($C$1081=50%,$C$1052,IF($C$1081=80%,$E$1052,$I$1052)))/12))</f>
        <v/>
      </c>
      <c r="E1087" s="226" t="str">
        <f>IF(C1087="","",C1087/(IF($C$1081=30%,$G$1053,IF($C$1081=50%,$C$1053,IF($C$1081=80%,$E$1053,$I$1053)))/12))</f>
        <v/>
      </c>
      <c r="F1087" s="226" t="str">
        <f>IF(C1087="","",C1087/(IF($C$1081=30%,$G$1054,IF($C$1081=50%,$C$1054,IF($C$1081=80%,$E$1054,$I$1054)))/12))</f>
        <v/>
      </c>
      <c r="G1087" s="226" t="str">
        <f>IF(C1087="","",C1087/(IF($C$1081=30%,$G$1055,IF($C$1081=50%,$C$1055,IF($C$1081=80%,$E$1055,$I$1055)))/12))</f>
        <v/>
      </c>
      <c r="H1087" s="226" t="str">
        <f>IF(C1087="","",C1087/(IF($C$1081=30%,$G$1056,IF($C$1081=50%,$C$1056,IF($C$1081=80%,$E$1056,$I$1056)))/12))</f>
        <v/>
      </c>
      <c r="I1087" s="226" t="str">
        <f>IF(C1087="","",C1087/(IF($C$1081=30%,$G$1057,IF($C$1081=50%,$C$1057,IF($C$1081=80%,$E$1057,$I$1057)))/12))</f>
        <v/>
      </c>
      <c r="J1087" s="226" t="str">
        <f>IF($J$1072=7,IF(C1087="","",C1087/(IF($C$1081=30%,$G$1058,IF($C$1081=50%,$C$1058,IF($C$1081=80%,$E$1058,$I$1058)))/12)),IF(C1087="","",C1087/(IF($C$1081=30%,$G$1059,IF($C$1081=50%,$C$1059,IF($C$1081=80%,$E$1059,$I$1059)))/12)))</f>
        <v/>
      </c>
      <c r="K1087" s="295"/>
    </row>
    <row r="1088" spans="1:12" ht="12.75" customHeight="1" x14ac:dyDescent="0.2">
      <c r="A1088" s="331">
        <f>IF(A1025="","",A1025)</f>
        <v>2</v>
      </c>
      <c r="B1088" s="63" t="str">
        <f>IF(H1025="","",H1025)</f>
        <v/>
      </c>
      <c r="C1088" s="225" t="str">
        <f>IF(B1088="","",IF($I$1093="Full-Amort",PMT($E$1093/12,$G$1093*12,-B1088),"$0.00"))</f>
        <v/>
      </c>
      <c r="D1088" s="226" t="str">
        <f>IF(C1088="","",C1088/(IF($C$1081=30%,$G$1052,IF($C$1081=50%,$C$1052,IF($C$1081=80%,$E$1052,$I$1052)))/12))</f>
        <v/>
      </c>
      <c r="E1088" s="226" t="str">
        <f>IF(C1088="","",C1088/(IF($C$1081=30%,$G$1053,IF($C$1081=50%,$C$1053,IF($C$1081=80%,$E$1053,$I$1053)))/12))</f>
        <v/>
      </c>
      <c r="F1088" s="226" t="str">
        <f>IF(C1088="","",C1088/(IF($C$1081=30%,$G$1054,IF($C$1081=50%,$C$1054,IF($C$1081=80%,$E$1054,$I$1054)))/12))</f>
        <v/>
      </c>
      <c r="G1088" s="226" t="str">
        <f>IF(C1088="","",C1088/(IF($C$1081=30%,$G$1055,IF($C$1081=50%,$C$1055,IF($C$1081=80%,$E$1055,$I$1055)))/12))</f>
        <v/>
      </c>
      <c r="H1088" s="226" t="str">
        <f>IF(C1088="","",C1088/(IF($C$1081=30%,$G$1056,IF($C$1081=50%,$C$1056,IF($C$1081=80%,$E$1056,$I$1056)))/12))</f>
        <v/>
      </c>
      <c r="I1088" s="226" t="str">
        <f>IF(C1088="","",C1088/(IF($C$1081=30%,$G$1057,IF($C$1081=50%,$C$1057,IF($C$1081=80%,$E$1057,$I$1057)))/12))</f>
        <v/>
      </c>
      <c r="J1088" s="226" t="str">
        <f>IF($J$1072=7,IF(C1088="","",C1088/(IF($C$1081=30%,$G$1058,IF($C$1081=50%,$C$1058,IF($C$1081=80%,$E$1058,$I$1058)))/12)),IF(C1088="","",C1088/(IF($C$1081=30%,$G$1059,IF($C$1081=50%,$C$1059,IF($C$1081=80%,$E$1059,$I$1059)))/12)))</f>
        <v/>
      </c>
      <c r="K1088" s="295"/>
    </row>
    <row r="1089" spans="1:12" x14ac:dyDescent="0.2">
      <c r="A1089" s="331">
        <f>IF(A1026="","",A1026)</f>
        <v>3</v>
      </c>
      <c r="B1089" s="63" t="str">
        <f>IF(H1026="","",H1026)</f>
        <v/>
      </c>
      <c r="C1089" s="225" t="str">
        <f>IF(B1089="","",IF($I$1093="Full-Amort",PMT($E$1093/12,$G$1093*12,-B1089),"$0.00"))</f>
        <v/>
      </c>
      <c r="D1089" s="226" t="str">
        <f>IF(C1089="","",C1089/(IF($C$1081=30%,$G$1052,IF($C$1081=50%,$C$1052,IF($C$1081=80%,$E$1052,$I$1052)))/12))</f>
        <v/>
      </c>
      <c r="E1089" s="226" t="str">
        <f>IF(C1089="","",C1089/(IF($C$1081=30%,$G$1053,IF($C$1081=50%,$C$1053,IF($C$1081=80%,$E$1053,$I$1053)))/12))</f>
        <v/>
      </c>
      <c r="F1089" s="226" t="str">
        <f>IF(C1089="","",C1089/(IF($C$1081=30%,$G$1054,IF($C$1081=50%,$C$1054,IF($C$1081=80%,$E$1054,$I$1054)))/12))</f>
        <v/>
      </c>
      <c r="G1089" s="226" t="str">
        <f>IF(C1089="","",C1089/(IF($C$1081=30%,$G$1055,IF($C$1081=50%,$C$1055,IF($C$1081=80%,$E$1055,$I$1055)))/12))</f>
        <v/>
      </c>
      <c r="H1089" s="226" t="str">
        <f>IF(C1089="","",C1089/(IF($C$1081=30%,$G$1056,IF($C$1081=50%,$C$1056,IF($C$1081=80%,$E$1056,$I$1056)))/12))</f>
        <v/>
      </c>
      <c r="I1089" s="226" t="str">
        <f>IF(C1089="","",C1089/(IF($C$1081=30%,$G$1057,IF($C$1081=50%,$C$1057,IF($C$1081=80%,$E$1057,$I$1057)))/12))</f>
        <v/>
      </c>
      <c r="J1089" s="226" t="str">
        <f>IF($J$1072=7,IF(C1089="","",C1089/(IF($C$1081=30%,$G$1058,IF($C$1081=50%,$C$1058,IF($C$1081=80%,$E$1058,$I$1058)))/12)),IF(C1089="","",C1089/(IF($C$1081=30%,$G$1059,IF($C$1081=50%,$C$1059,IF($C$1081=80%,$E$1059,$I$1059)))/12)))</f>
        <v/>
      </c>
      <c r="K1089" s="295"/>
      <c r="L1089" s="23" t="s">
        <v>125</v>
      </c>
    </row>
    <row r="1090" spans="1:12" x14ac:dyDescent="0.2">
      <c r="A1090" s="331">
        <f>IF(A1027="","",A1027)</f>
        <v>4</v>
      </c>
      <c r="B1090" s="63" t="str">
        <f>IF(H1027="","",H1027)</f>
        <v/>
      </c>
      <c r="C1090" s="225" t="str">
        <f>IF(B1090="","",IF($I$1093="Full-Amort",PMT($E$1093/12,$G$1093*12,-B1090),"$0.00"))</f>
        <v/>
      </c>
      <c r="D1090" s="226" t="str">
        <f>IF(C1090="","",C1090/(IF($C$1081=30%,$G$1052,IF($C$1081=50%,$C$1052,IF($C$1081=80%,$E$1052,$I$1052)))/12))</f>
        <v/>
      </c>
      <c r="E1090" s="226" t="str">
        <f>IF(C1090="","",C1090/(IF($C$1081=30%,$G$1053,IF($C$1081=50%,$C$1053,IF($C$1081=80%,$E$1053,$I$1053)))/12))</f>
        <v/>
      </c>
      <c r="F1090" s="226" t="str">
        <f>IF(C1090="","",C1090/(IF($C$1081=30%,$G$1054,IF($C$1081=50%,$C$1054,IF($C$1081=80%,$E$1054,$I$1054)))/12))</f>
        <v/>
      </c>
      <c r="G1090" s="226" t="str">
        <f>IF(C1090="","",C1090/(IF($C$1081=30%,$G$1055,IF($C$1081=50%,$C$1055,IF($C$1081=80%,$E$1055,$I$1055)))/12))</f>
        <v/>
      </c>
      <c r="H1090" s="226" t="str">
        <f>IF(C1090="","",C1090/(IF($C$1081=30%,$G$1056,IF($C$1081=50%,$C$1056,IF($C$1081=80%,$E$1056,$I$1056)))/12))</f>
        <v/>
      </c>
      <c r="I1090" s="226" t="str">
        <f>IF(C1090="","",C1090/(IF($C$1081=30%,$G$1057,IF($C$1081=50%,$C$1057,IF($C$1081=80%,$E$1057,$I$1057)))/12))</f>
        <v/>
      </c>
      <c r="J1090" s="226" t="str">
        <f>IF($J$1072=7,IF(C1090="","",C1090/(IF($C$1081=30%,$G$1058,IF($C$1081=50%,$C$1058,IF($C$1081=80%,$E$1058,$I$1058)))/12)),IF(C1090="","",C1090/(IF($C$1081=30%,$G$1059,IF($C$1081=50%,$C$1059,IF($C$1081=80%,$E$1059,$I$1059)))/12)))</f>
        <v/>
      </c>
      <c r="K1090" s="295"/>
      <c r="L1090" s="23" t="s">
        <v>875</v>
      </c>
    </row>
    <row r="1091" spans="1:12" x14ac:dyDescent="0.2">
      <c r="A1091"/>
      <c r="B1091"/>
      <c r="C1091"/>
      <c r="D1091"/>
      <c r="E1091"/>
      <c r="F1091"/>
      <c r="G1091"/>
      <c r="H1091"/>
      <c r="I1091"/>
      <c r="J1091"/>
      <c r="K1091" s="295"/>
      <c r="L1091" s="23" t="s">
        <v>124</v>
      </c>
    </row>
    <row r="1092" spans="1:12" x14ac:dyDescent="0.2">
      <c r="A1092"/>
      <c r="B1092" s="327" t="s">
        <v>1080</v>
      </c>
      <c r="C1092" s="324"/>
      <c r="D1092" s="325"/>
      <c r="E1092" s="325"/>
      <c r="F1092" s="325"/>
      <c r="G1092" s="325"/>
      <c r="H1092" s="325"/>
      <c r="I1092" s="325"/>
      <c r="J1092"/>
      <c r="K1092" s="295"/>
    </row>
    <row r="1093" spans="1:12" x14ac:dyDescent="0.2">
      <c r="A1093"/>
      <c r="B1093" s="326" t="s">
        <v>280</v>
      </c>
      <c r="C1093" s="82" t="str">
        <f>IF(B1106="","",B1106)</f>
        <v/>
      </c>
      <c r="D1093" s="328" t="s">
        <v>281</v>
      </c>
      <c r="E1093" s="189"/>
      <c r="F1093" s="328" t="s">
        <v>282</v>
      </c>
      <c r="G1093" s="309"/>
      <c r="H1093" s="329" t="s">
        <v>734</v>
      </c>
      <c r="I1093" s="199"/>
    </row>
    <row r="1094" spans="1:12" x14ac:dyDescent="0.2">
      <c r="A1094"/>
      <c r="B1094"/>
      <c r="C1094"/>
      <c r="D1094"/>
      <c r="E1094"/>
      <c r="F1094"/>
      <c r="G1094"/>
      <c r="H1094"/>
      <c r="I1094"/>
      <c r="J1094"/>
      <c r="K1094" s="295"/>
    </row>
    <row r="1095" spans="1:12" x14ac:dyDescent="0.2">
      <c r="A1095" s="330" t="s">
        <v>1081</v>
      </c>
      <c r="B1095"/>
      <c r="C1095"/>
      <c r="D1095"/>
      <c r="E1095"/>
      <c r="F1095"/>
      <c r="G1095"/>
      <c r="H1095"/>
      <c r="I1095"/>
      <c r="J1095"/>
      <c r="K1095" s="295"/>
    </row>
    <row r="1096" spans="1:12" x14ac:dyDescent="0.2">
      <c r="A1096" s="638" t="s">
        <v>289</v>
      </c>
      <c r="B1096" s="638" t="s">
        <v>285</v>
      </c>
      <c r="C1096" s="638" t="s">
        <v>1084</v>
      </c>
      <c r="D1096" s="638" t="s">
        <v>1085</v>
      </c>
      <c r="E1096" s="638" t="s">
        <v>1086</v>
      </c>
      <c r="F1096" s="638" t="s">
        <v>1087</v>
      </c>
      <c r="G1096" s="638" t="s">
        <v>1088</v>
      </c>
      <c r="H1096"/>
      <c r="I1096" s="638" t="s">
        <v>1089</v>
      </c>
      <c r="J1096"/>
      <c r="K1096" s="295"/>
    </row>
    <row r="1097" spans="1:12" x14ac:dyDescent="0.2">
      <c r="A1097" s="638"/>
      <c r="B1097" s="638"/>
      <c r="C1097" s="638"/>
      <c r="D1097" s="638"/>
      <c r="E1097" s="638"/>
      <c r="F1097" s="638"/>
      <c r="G1097" s="638"/>
      <c r="H1097"/>
      <c r="I1097" s="638"/>
      <c r="J1097"/>
      <c r="K1097" s="295"/>
    </row>
    <row r="1098" spans="1:12" ht="12.75" customHeight="1" x14ac:dyDescent="0.2">
      <c r="A1098" s="638"/>
      <c r="B1098" s="638"/>
      <c r="C1098" s="638"/>
      <c r="D1098" s="638"/>
      <c r="E1098" s="638"/>
      <c r="F1098" s="638"/>
      <c r="G1098" s="638"/>
      <c r="H1098"/>
      <c r="I1098" s="638"/>
      <c r="J1098"/>
      <c r="K1098" s="295"/>
    </row>
    <row r="1099" spans="1:12" x14ac:dyDescent="0.2">
      <c r="A1099" s="331">
        <v>0</v>
      </c>
      <c r="B1099" s="338" t="str">
        <f>IF(E989=0,"",E989)</f>
        <v/>
      </c>
      <c r="C1099" s="337" t="str">
        <f>IF(C1074="","",C1074)</f>
        <v/>
      </c>
      <c r="D1099" s="337" t="str">
        <f>IF(C1086="","",C1086)</f>
        <v/>
      </c>
      <c r="E1099" s="337">
        <f t="shared" ref="E1099:G1103" si="2">IF(E1002="",0,E1002)</f>
        <v>0</v>
      </c>
      <c r="F1099" s="337">
        <f t="shared" si="2"/>
        <v>0</v>
      </c>
      <c r="G1099" s="337">
        <f t="shared" si="2"/>
        <v>0</v>
      </c>
      <c r="H1099"/>
      <c r="I1099" s="339" t="str">
        <f>IF(B1099="","",(B1099+C1099+D1099+(E1099/12)+(F1099/12)+(G1099/12)))</f>
        <v/>
      </c>
      <c r="J1099"/>
      <c r="K1099" s="295"/>
    </row>
    <row r="1100" spans="1:12" x14ac:dyDescent="0.2">
      <c r="A1100" s="331">
        <v>1</v>
      </c>
      <c r="B1100" s="338" t="str">
        <f>IF(F989=0,"",F989)</f>
        <v/>
      </c>
      <c r="C1100" s="337" t="str">
        <f>IF(C1075="","",C1075)</f>
        <v/>
      </c>
      <c r="D1100" s="337" t="str">
        <f>IF(C1087="","",C1087)</f>
        <v/>
      </c>
      <c r="E1100" s="337">
        <f t="shared" si="2"/>
        <v>0</v>
      </c>
      <c r="F1100" s="337">
        <f t="shared" si="2"/>
        <v>0</v>
      </c>
      <c r="G1100" s="337">
        <f t="shared" si="2"/>
        <v>0</v>
      </c>
      <c r="H1100"/>
      <c r="I1100" s="339" t="str">
        <f>IF(B1100="","",(B1100+C1100+D1100+(E1100/12)+(F1100/12)+(G1100/12)))</f>
        <v/>
      </c>
      <c r="J1100"/>
      <c r="K1100" s="295"/>
    </row>
    <row r="1101" spans="1:12" x14ac:dyDescent="0.2">
      <c r="A1101" s="331">
        <v>2</v>
      </c>
      <c r="B1101" s="338" t="str">
        <f>IF(G989=0,"",G989)</f>
        <v/>
      </c>
      <c r="C1101" s="337" t="str">
        <f>IF(C1076="","",C1076)</f>
        <v/>
      </c>
      <c r="D1101" s="337" t="str">
        <f>IF(C1088="","",C1088)</f>
        <v/>
      </c>
      <c r="E1101" s="337">
        <f t="shared" si="2"/>
        <v>0</v>
      </c>
      <c r="F1101" s="337">
        <f t="shared" si="2"/>
        <v>0</v>
      </c>
      <c r="G1101" s="337">
        <f t="shared" si="2"/>
        <v>0</v>
      </c>
      <c r="H1101"/>
      <c r="I1101" s="339" t="str">
        <f>IF(B1101="","",(B1101+C1101+D1101+(E1101/12)+(F1101/12)+(G1101/12)))</f>
        <v/>
      </c>
      <c r="J1101"/>
      <c r="K1101" s="295"/>
    </row>
    <row r="1102" spans="1:12" x14ac:dyDescent="0.2">
      <c r="A1102" s="331">
        <v>3</v>
      </c>
      <c r="B1102" s="338" t="str">
        <f>IF(H989=0,"",H989)</f>
        <v/>
      </c>
      <c r="C1102" s="337" t="str">
        <f>IF(C1077="","",C1077)</f>
        <v/>
      </c>
      <c r="D1102" s="337" t="str">
        <f>IF(C1089="","",C1089)</f>
        <v/>
      </c>
      <c r="E1102" s="337">
        <f t="shared" si="2"/>
        <v>0</v>
      </c>
      <c r="F1102" s="337">
        <f t="shared" si="2"/>
        <v>0</v>
      </c>
      <c r="G1102" s="337">
        <f t="shared" si="2"/>
        <v>0</v>
      </c>
      <c r="H1102"/>
      <c r="I1102" s="339" t="str">
        <f>IF(B1102="","",(B1102+C1102+D1102+(E1102/12)+(F1102/12)+(G1102/12)))</f>
        <v/>
      </c>
      <c r="J1102"/>
      <c r="K1102" s="295"/>
    </row>
    <row r="1103" spans="1:12" x14ac:dyDescent="0.2">
      <c r="A1103" s="331">
        <v>4</v>
      </c>
      <c r="B1103" s="338" t="str">
        <f>IF(I989=0,"",I989)</f>
        <v/>
      </c>
      <c r="C1103" s="337" t="str">
        <f>IF(C1078="","",C1078)</f>
        <v/>
      </c>
      <c r="D1103" s="337" t="str">
        <f>IF(C1090="","",C1090)</f>
        <v/>
      </c>
      <c r="E1103" s="337">
        <f t="shared" si="2"/>
        <v>0</v>
      </c>
      <c r="F1103" s="337">
        <f t="shared" si="2"/>
        <v>0</v>
      </c>
      <c r="G1103" s="337">
        <f t="shared" si="2"/>
        <v>0</v>
      </c>
      <c r="H1103"/>
      <c r="I1103" s="339" t="str">
        <f>IF(B1103="","",(B1103+C1103+D1103+(E1103/12)+(F1103/12)+(G1103/12)))</f>
        <v/>
      </c>
      <c r="J1103"/>
      <c r="K1103" s="295"/>
    </row>
    <row r="1104" spans="1:12" x14ac:dyDescent="0.2">
      <c r="A1104" s="333"/>
      <c r="B1104" s="334"/>
      <c r="C1104" s="335"/>
      <c r="D1104" s="335"/>
      <c r="E1104" s="335"/>
      <c r="F1104" s="335"/>
      <c r="G1104" s="335"/>
      <c r="H1104"/>
      <c r="I1104" s="336"/>
      <c r="J1104"/>
      <c r="K1104" s="295"/>
    </row>
    <row r="1105" spans="1:12" ht="12.75" customHeight="1" x14ac:dyDescent="0.2">
      <c r="A1105" s="641" t="s">
        <v>790</v>
      </c>
      <c r="B1105" s="641"/>
      <c r="C1105" s="641"/>
      <c r="D1105" s="641"/>
      <c r="E1105" s="641"/>
      <c r="F1105" s="641"/>
      <c r="G1105" s="641"/>
      <c r="H1105" s="641"/>
      <c r="I1105" s="641"/>
      <c r="J1105" s="641"/>
      <c r="K1105" s="295"/>
    </row>
    <row r="1106" spans="1:12" x14ac:dyDescent="0.2">
      <c r="A1106" s="21" t="s">
        <v>284</v>
      </c>
      <c r="B1106" s="174"/>
      <c r="C1106" s="200" t="str">
        <f>IF(B1106=30%,"HUD Extreme Low Income",IF(B1106=50%,"HUD Very Low Income/Low HOME",IF(B1106=80%,"HUD Low Income/High HOME","HUD Moderate Income")))</f>
        <v>HUD Moderate Income</v>
      </c>
      <c r="D1106" s="1"/>
      <c r="E1106" s="1"/>
      <c r="F1106" s="1"/>
      <c r="G1106" s="1"/>
      <c r="H1106" s="1"/>
      <c r="I1106" s="1"/>
      <c r="J1106" s="1"/>
      <c r="K1106" s="295"/>
      <c r="L1106" s="186">
        <v>0.3</v>
      </c>
    </row>
    <row r="1107" spans="1:12" ht="12.75" customHeight="1" x14ac:dyDescent="0.2">
      <c r="A1107"/>
      <c r="B1107" s="638" t="s">
        <v>289</v>
      </c>
      <c r="C1107" s="638" t="s">
        <v>1089</v>
      </c>
      <c r="D1107" s="441" t="s">
        <v>1076</v>
      </c>
      <c r="E1107" s="441"/>
      <c r="F1107" s="441"/>
      <c r="G1107" s="441"/>
      <c r="H1107" s="441"/>
      <c r="I1107" s="441"/>
      <c r="J1107" s="441"/>
      <c r="K1107" s="295"/>
      <c r="L1107" s="186">
        <v>0.5</v>
      </c>
    </row>
    <row r="1108" spans="1:12" x14ac:dyDescent="0.2">
      <c r="A1108"/>
      <c r="B1108" s="638"/>
      <c r="C1108" s="638"/>
      <c r="D1108" s="28">
        <v>1</v>
      </c>
      <c r="E1108" s="28">
        <v>2</v>
      </c>
      <c r="F1108" s="28">
        <v>3</v>
      </c>
      <c r="G1108" s="28">
        <v>4</v>
      </c>
      <c r="H1108" s="28">
        <v>5</v>
      </c>
      <c r="I1108" s="28">
        <v>6</v>
      </c>
      <c r="J1108" s="28">
        <f>J1072</f>
        <v>0</v>
      </c>
      <c r="K1108" s="295"/>
      <c r="L1108" s="186">
        <v>0.8</v>
      </c>
    </row>
    <row r="1109" spans="1:12" x14ac:dyDescent="0.2">
      <c r="A1109"/>
      <c r="B1109" s="638"/>
      <c r="C1109" s="638"/>
      <c r="D1109" s="348" t="s">
        <v>1102</v>
      </c>
      <c r="E1109" s="348" t="s">
        <v>1103</v>
      </c>
      <c r="F1109" s="348" t="s">
        <v>1103</v>
      </c>
      <c r="G1109" s="348" t="s">
        <v>1103</v>
      </c>
      <c r="H1109" s="348" t="s">
        <v>1103</v>
      </c>
      <c r="I1109" s="348" t="s">
        <v>1103</v>
      </c>
      <c r="J1109" s="348" t="s">
        <v>1103</v>
      </c>
      <c r="K1109" s="295"/>
      <c r="L1109" s="186">
        <v>1.2</v>
      </c>
    </row>
    <row r="1110" spans="1:12" x14ac:dyDescent="0.2">
      <c r="A1110"/>
      <c r="B1110" s="331">
        <v>0</v>
      </c>
      <c r="C1110" s="191" t="str">
        <f>IF(I1099="","",I1099)</f>
        <v/>
      </c>
      <c r="D1110" s="226" t="str">
        <f>IF(C1110="","",C1110/(IF($B$1106=30%,$G$1052,IF($B$1106=50%,$C$1052,IF($B$1106=80%,$E$1052,$I$1052)))/12))</f>
        <v/>
      </c>
      <c r="E1110" s="226" t="str">
        <f>IF(C1110="","",C1110/(IF($B$1106=30%,$G$1053,IF($B$1106=50%,$C$1053,IF($B$1106=80%,$E$1053,$I$1053)))/12))</f>
        <v/>
      </c>
      <c r="F1110" s="226" t="str">
        <f>IF(C1110="","",C1110/(IF($B$1106=30%,$G$1054,IF($B$1106=50%,$C$1054,IF($B$1106=80%,$E$1054,$I$1054)))/12))</f>
        <v/>
      </c>
      <c r="G1110" s="226" t="str">
        <f>IF(C1110="","",C1110/(IF($B$1106=30%,$G$1055,IF($B$1106=50%,$C$1055,IF($B$1106=80%,$E$1055,$I$1055)))/12))</f>
        <v/>
      </c>
      <c r="H1110" s="226" t="str">
        <f>IF(C1110="","",C1110/(IF($B$1106=30%,$G$1056,IF($B$1106=50%,$C$1056,IF($B$1106=80%,$E$1056,$I$1056)))/12))</f>
        <v/>
      </c>
      <c r="I1110" s="226" t="str">
        <f>IF(C1110="","",C1110/(IF($B$1106=30%,$G$1057,IF($B$1106=50%,$C$1057,IF($B$1106=80%,$E$1057,$I$1057)))/12))</f>
        <v/>
      </c>
      <c r="J1110" s="226" t="str">
        <f>IF($J$1072=7,IF(C1110="","",C1110/(IF($C$1081=30%,$G$1058,IF($C$1081=50%,$C$1058,IF($C$1081=80%,$E$1058,$I$1058)))/12)),IF(C1110="","",C1110/(IF($C$1081=30%,$G$1059,IF($C$1081=50%,$C$1059,IF($C$1081=80%,$E$1059,$I$1059)))/12)))</f>
        <v/>
      </c>
      <c r="K1110" s="295"/>
    </row>
    <row r="1111" spans="1:12" x14ac:dyDescent="0.2">
      <c r="A1111"/>
      <c r="B1111" s="331">
        <v>1</v>
      </c>
      <c r="C1111" s="191" t="str">
        <f>IF(I1100="","",I1100)</f>
        <v/>
      </c>
      <c r="D1111" s="226" t="str">
        <f>IF(C1111="","",C1111/(IF($B$1106=30%,$G$1052,IF($B$1106=50%,$C$1052,IF($B$1106=80%,$E$1052,$I$1052)))/12))</f>
        <v/>
      </c>
      <c r="E1111" s="226" t="str">
        <f>IF(C1111="","",C1111/(IF($B$1106=30%,$G$1053,IF($B$1106=50%,$C$1053,IF($B$1106=80%,$E$1053,$I$1053)))/12))</f>
        <v/>
      </c>
      <c r="F1111" s="226" t="str">
        <f>IF(C1111="","",C1111/(IF($B$1106=30%,$G$1054,IF($B$1106=50%,$C$1054,IF($B$1106=80%,$E$1054,$I$1054)))/12))</f>
        <v/>
      </c>
      <c r="G1111" s="226" t="str">
        <f>IF(C1111="","",C1111/(IF($B$1106=30%,$G$1055,IF($B$1106=50%,$C$1055,IF($B$1106=80%,$E$1055,$I$1055)))/12))</f>
        <v/>
      </c>
      <c r="H1111" s="226" t="str">
        <f>IF(C1111="","",C1111/(IF($B$1106=30%,$G$1056,IF($B$1106=50%,$C$1056,IF($B$1106=80%,$E$1056,$I$1056)))/12))</f>
        <v/>
      </c>
      <c r="I1111" s="226" t="str">
        <f>IF(C1111="","",C1111/(IF($B$1106=30%,$G$1057,IF($B$1106=50%,$C$1057,IF($B$1106=80%,$E$1057,$I$1057)))/12))</f>
        <v/>
      </c>
      <c r="J1111" s="226" t="str">
        <f>IF($J$1072=7,IF(C1111="","",C1111/(IF($C$1081=30%,$G$1058,IF($C$1081=50%,$C$1058,IF($C$1081=80%,$E$1058,$I$1058)))/12)),IF(C1111="","",C1111/(IF($C$1081=30%,$G$1059,IF($C$1081=50%,$C$1059,IF($C$1081=80%,$E$1059,$I$1059)))/12)))</f>
        <v/>
      </c>
      <c r="K1111" s="295"/>
    </row>
    <row r="1112" spans="1:12" x14ac:dyDescent="0.2">
      <c r="A1112"/>
      <c r="B1112" s="331">
        <v>2</v>
      </c>
      <c r="C1112" s="191" t="str">
        <f>IF(I1101="","",I1101)</f>
        <v/>
      </c>
      <c r="D1112" s="226" t="str">
        <f>IF(C1112="","",C1112/(IF($B$1106=30%,$G$1052,IF($B$1106=50%,$C$1052,IF($B$1106=80%,$E$1052,$I$1052)))/12))</f>
        <v/>
      </c>
      <c r="E1112" s="226" t="str">
        <f>IF(C1112="","",C1112/(IF($B$1106=30%,$G$1053,IF($B$1106=50%,$C$1053,IF($B$1106=80%,$E$1053,$I$1053)))/12))</f>
        <v/>
      </c>
      <c r="F1112" s="226" t="str">
        <f>IF(C1112="","",C1112/(IF($B$1106=30%,$G$1054,IF($B$1106=50%,$C$1054,IF($B$1106=80%,$E$1054,$I$1054)))/12))</f>
        <v/>
      </c>
      <c r="G1112" s="226" t="str">
        <f>IF(C1112="","",C1112/(IF($B$1106=30%,$G$1055,IF($B$1106=50%,$C$1055,IF($B$1106=80%,$E$1055,$I$1055)))/12))</f>
        <v/>
      </c>
      <c r="H1112" s="226" t="str">
        <f>IF(C1112="","",C1112/(IF($B$1106=30%,$G$1056,IF($B$1106=50%,$C$1056,IF($B$1106=80%,$E$1056,$I$1056)))/12))</f>
        <v/>
      </c>
      <c r="I1112" s="226" t="str">
        <f>IF(C1112="","",C1112/(IF($B$1106=30%,$G$1057,IF($B$1106=50%,$C$1057,IF($B$1106=80%,$E$1057,$I$1057)))/12))</f>
        <v/>
      </c>
      <c r="J1112" s="226" t="str">
        <f>IF($J$1072=7,IF(C1112="","",C1112/(IF($C$1081=30%,$G$1058,IF($C$1081=50%,$C$1058,IF($C$1081=80%,$E$1058,$I$1058)))/12)),IF(C1112="","",C1112/(IF($C$1081=30%,$G$1059,IF($C$1081=50%,$C$1059,IF($C$1081=80%,$E$1059,$I$1059)))/12)))</f>
        <v/>
      </c>
      <c r="K1112" s="295"/>
    </row>
    <row r="1113" spans="1:12" x14ac:dyDescent="0.2">
      <c r="A1113"/>
      <c r="B1113" s="331">
        <v>3</v>
      </c>
      <c r="C1113" s="191" t="str">
        <f>IF(I1102="","",I1102)</f>
        <v/>
      </c>
      <c r="D1113" s="226" t="str">
        <f>IF(C1113="","",C1113/(IF($B$1106=30%,$G$1052,IF($B$1106=50%,$C$1052,IF($B$1106=80%,$E$1052,$I$1052)))/12))</f>
        <v/>
      </c>
      <c r="E1113" s="226" t="str">
        <f>IF(C1113="","",C1113/(IF($B$1106=30%,$G$1053,IF($B$1106=50%,$C$1053,IF($B$1106=80%,$E$1053,$I$1053)))/12))</f>
        <v/>
      </c>
      <c r="F1113" s="226" t="str">
        <f>IF(C1113="","",C1113/(IF($B$1106=30%,$G$1054,IF($B$1106=50%,$C$1054,IF($B$1106=80%,$E$1054,$I$1054)))/12))</f>
        <v/>
      </c>
      <c r="G1113" s="226" t="str">
        <f>IF(C1113="","",C1113/(IF($B$1106=30%,$G$1055,IF($B$1106=50%,$C$1055,IF($B$1106=80%,$E$1055,$I$1055)))/12))</f>
        <v/>
      </c>
      <c r="H1113" s="226" t="str">
        <f>IF(C1113="","",C1113/(IF($B$1106=30%,$G$1056,IF($B$1106=50%,$C$1056,IF($B$1106=80%,$E$1056,$I$1056)))/12))</f>
        <v/>
      </c>
      <c r="I1113" s="226" t="str">
        <f>IF(C1113="","",C1113/(IF($B$1106=30%,$G$1057,IF($B$1106=50%,$C$1057,IF($B$1106=80%,$E$1057,$I$1057)))/12))</f>
        <v/>
      </c>
      <c r="J1113" s="226" t="str">
        <f>IF($J$1072=7,IF(C1113="","",C1113/(IF($C$1081=30%,$G$1058,IF($C$1081=50%,$C$1058,IF($C$1081=80%,$E$1058,$I$1058)))/12)),IF(C1113="","",C1113/(IF($C$1081=30%,$G$1059,IF($C$1081=50%,$C$1059,IF($C$1081=80%,$E$1059,$I$1059)))/12)))</f>
        <v/>
      </c>
      <c r="K1113" s="295"/>
    </row>
    <row r="1114" spans="1:12" x14ac:dyDescent="0.2">
      <c r="A1114"/>
      <c r="B1114" s="331">
        <v>4</v>
      </c>
      <c r="C1114" s="191" t="str">
        <f>IF(I1103="","",I1103)</f>
        <v/>
      </c>
      <c r="D1114" s="226" t="str">
        <f>IF(C1114="","",C1114/(IF($B$1106=30%,$G$1052,IF($B$1106=50%,$C$1052,IF($B$1106=80%,$E$1052,$I$1052)))/12))</f>
        <v/>
      </c>
      <c r="E1114" s="226" t="str">
        <f>IF(C1114="","",C1114/(IF($B$1106=30%,$G$1053,IF($B$1106=50%,$C$1053,IF($B$1106=80%,$E$1053,$I$1053)))/12))</f>
        <v/>
      </c>
      <c r="F1114" s="226" t="str">
        <f>IF(C1114="","",C1114/(IF($B$1106=30%,$G$1054,IF($B$1106=50%,$C$1054,IF($B$1106=80%,$E$1054,$I$1054)))/12))</f>
        <v/>
      </c>
      <c r="G1114" s="226" t="str">
        <f>IF(C1114="","",C1114/(IF($B$1106=30%,$G$1055,IF($B$1106=50%,$C$1055,IF($B$1106=80%,$E$1055,$I$1055)))/12))</f>
        <v/>
      </c>
      <c r="H1114" s="226" t="str">
        <f>IF(C1114="","",C1114/(IF($B$1106=30%,$G$1056,IF($B$1106=50%,$C$1056,IF($B$1106=80%,$E$1056,$I$1056)))/12))</f>
        <v/>
      </c>
      <c r="I1114" s="226" t="str">
        <f>IF(C1114="","",C1114/(IF($B$1106=30%,$G$1057,IF($B$1106=50%,$C$1057,IF($B$1106=80%,$E$1057,$I$1057)))/12))</f>
        <v/>
      </c>
      <c r="J1114" s="226" t="str">
        <f>IF($J$1072=7,IF(C1114="","",C1114/(IF($C$1081=30%,$G$1058,IF($C$1081=50%,$C$1058,IF($C$1081=80%,$E$1058,$I$1058)))/12)),IF(C1114="","",C1114/(IF($C$1081=30%,$G$1059,IF($C$1081=50%,$C$1059,IF($C$1081=80%,$E$1059,$I$1059)))/12)))</f>
        <v/>
      </c>
      <c r="K1114" s="295"/>
    </row>
    <row r="1115" spans="1:12" x14ac:dyDescent="0.2">
      <c r="A1115" s="1"/>
      <c r="B1115" s="1"/>
      <c r="C1115" s="1"/>
      <c r="D1115" s="1"/>
      <c r="E1115" s="1"/>
      <c r="F1115" s="1"/>
      <c r="G1115" s="1"/>
      <c r="H1115" s="1"/>
      <c r="I1115" s="1"/>
      <c r="J1115" s="1"/>
      <c r="K1115" s="295"/>
    </row>
    <row r="1116" spans="1:12" x14ac:dyDescent="0.2">
      <c r="A1116" s="441" t="s">
        <v>1060</v>
      </c>
      <c r="B1116" s="441"/>
      <c r="C1116" s="441"/>
      <c r="D1116" s="441"/>
      <c r="E1116" s="441"/>
      <c r="F1116" s="441"/>
      <c r="G1116" s="441"/>
      <c r="H1116" s="441"/>
      <c r="I1116" s="441"/>
      <c r="J1116" s="441"/>
      <c r="K1116" s="295"/>
    </row>
    <row r="1117" spans="1:12" x14ac:dyDescent="0.2">
      <c r="A1117" s="441" t="s">
        <v>1061</v>
      </c>
      <c r="B1117" s="441"/>
      <c r="C1117" s="441"/>
      <c r="D1117" s="441"/>
      <c r="E1117" s="441"/>
      <c r="F1117" s="441"/>
      <c r="G1117" s="441"/>
      <c r="H1117" s="441"/>
      <c r="I1117" s="441"/>
      <c r="J1117" s="441"/>
      <c r="K1117" s="295"/>
    </row>
    <row r="1118" spans="1:12" x14ac:dyDescent="0.2">
      <c r="A1118" s="441" t="s">
        <v>88</v>
      </c>
      <c r="B1118" s="441"/>
      <c r="C1118" s="441"/>
      <c r="D1118" s="441"/>
      <c r="E1118" s="441"/>
      <c r="F1118" s="441"/>
      <c r="G1118" s="441"/>
      <c r="H1118" s="441"/>
      <c r="I1118" s="441"/>
      <c r="J1118" s="441"/>
      <c r="K1118" s="295"/>
    </row>
    <row r="1119" spans="1:12" x14ac:dyDescent="0.2">
      <c r="A1119" s="26"/>
      <c r="B1119" s="9"/>
      <c r="C1119" s="9"/>
      <c r="D1119" s="446" t="str">
        <f>IF($B$229="","",$B$229)</f>
        <v/>
      </c>
      <c r="E1119" s="446"/>
      <c r="F1119" s="446"/>
      <c r="G1119" s="446"/>
      <c r="H1119" s="9"/>
      <c r="I1119" s="27"/>
      <c r="J1119" s="9"/>
      <c r="K1119" s="295"/>
    </row>
    <row r="1120" spans="1:12" x14ac:dyDescent="0.2">
      <c r="A1120" s="42"/>
      <c r="B1120" s="42"/>
      <c r="C1120" s="42"/>
      <c r="D1120" s="443" t="s">
        <v>1143</v>
      </c>
      <c r="E1120" s="443"/>
      <c r="F1120" s="443"/>
      <c r="G1120" s="443"/>
      <c r="H1120" s="42"/>
      <c r="I1120" s="42"/>
      <c r="J1120" s="42"/>
      <c r="K1120" s="295"/>
    </row>
    <row r="1121" spans="1:11" x14ac:dyDescent="0.2">
      <c r="A1121" s="443" t="s">
        <v>914</v>
      </c>
      <c r="B1121" s="443"/>
      <c r="C1121" s="443"/>
      <c r="D1121" s="443"/>
      <c r="E1121" s="443"/>
      <c r="F1121" s="443"/>
      <c r="G1121" s="443"/>
      <c r="H1121" s="443"/>
      <c r="I1121" s="443"/>
      <c r="J1121" s="443"/>
      <c r="K1121" s="295"/>
    </row>
    <row r="1122" spans="1:11" ht="13.15" customHeight="1" x14ac:dyDescent="0.2">
      <c r="A1122" s="9"/>
      <c r="B1122" s="9"/>
      <c r="C1122" s="9"/>
      <c r="D1122" s="9"/>
      <c r="E1122" s="9"/>
      <c r="F1122" s="9"/>
      <c r="G1122" s="9"/>
      <c r="H1122" s="9"/>
      <c r="I1122" s="9"/>
      <c r="J1122" s="9"/>
      <c r="K1122" s="295"/>
    </row>
    <row r="1123" spans="1:11" x14ac:dyDescent="0.2">
      <c r="A1123" s="660" t="s">
        <v>864</v>
      </c>
      <c r="B1123" s="661"/>
      <c r="C1123" s="661"/>
      <c r="D1123" s="661"/>
      <c r="E1123" s="661"/>
      <c r="F1123" s="661"/>
      <c r="G1123" s="661"/>
      <c r="H1123" s="661"/>
      <c r="I1123" s="661"/>
      <c r="J1123" s="662"/>
      <c r="K1123" s="295"/>
    </row>
    <row r="1124" spans="1:11" x14ac:dyDescent="0.2">
      <c r="A1124" s="663"/>
      <c r="B1124" s="664"/>
      <c r="C1124" s="664"/>
      <c r="D1124" s="664"/>
      <c r="E1124" s="664"/>
      <c r="F1124" s="664"/>
      <c r="G1124" s="664"/>
      <c r="H1124" s="664"/>
      <c r="I1124" s="664"/>
      <c r="J1124" s="665"/>
      <c r="K1124" s="295"/>
    </row>
    <row r="1125" spans="1:11" x14ac:dyDescent="0.2">
      <c r="A1125" s="663"/>
      <c r="B1125" s="664"/>
      <c r="C1125" s="664"/>
      <c r="D1125" s="664"/>
      <c r="E1125" s="664"/>
      <c r="F1125" s="664"/>
      <c r="G1125" s="664"/>
      <c r="H1125" s="664"/>
      <c r="I1125" s="664"/>
      <c r="J1125" s="665"/>
      <c r="K1125" s="295"/>
    </row>
    <row r="1126" spans="1:11" ht="12.75" customHeight="1" x14ac:dyDescent="0.2">
      <c r="A1126" s="663"/>
      <c r="B1126" s="664"/>
      <c r="C1126" s="664"/>
      <c r="D1126" s="664"/>
      <c r="E1126" s="664"/>
      <c r="F1126" s="664"/>
      <c r="G1126" s="664"/>
      <c r="H1126" s="664"/>
      <c r="I1126" s="664"/>
      <c r="J1126" s="665"/>
      <c r="K1126" s="295"/>
    </row>
    <row r="1127" spans="1:11" x14ac:dyDescent="0.2">
      <c r="A1127" s="663"/>
      <c r="B1127" s="664"/>
      <c r="C1127" s="664"/>
      <c r="D1127" s="664"/>
      <c r="E1127" s="664"/>
      <c r="F1127" s="664"/>
      <c r="G1127" s="664"/>
      <c r="H1127" s="664"/>
      <c r="I1127" s="664"/>
      <c r="J1127" s="665"/>
      <c r="K1127" s="295"/>
    </row>
    <row r="1128" spans="1:11" x14ac:dyDescent="0.2">
      <c r="A1128" s="666"/>
      <c r="B1128" s="667"/>
      <c r="C1128" s="667"/>
      <c r="D1128" s="667"/>
      <c r="E1128" s="667"/>
      <c r="F1128" s="667"/>
      <c r="G1128" s="667"/>
      <c r="H1128" s="667"/>
      <c r="I1128" s="667"/>
      <c r="J1128" s="668"/>
      <c r="K1128" s="295"/>
    </row>
    <row r="1129" spans="1:11" ht="12.75" customHeight="1" x14ac:dyDescent="0.2">
      <c r="A1129" s="9"/>
      <c r="B1129" s="9"/>
      <c r="C1129" s="9"/>
      <c r="D1129" s="9"/>
      <c r="E1129" s="9"/>
      <c r="F1129" s="9"/>
      <c r="G1129" s="9"/>
      <c r="H1129" s="9"/>
      <c r="I1129" s="9"/>
      <c r="J1129" s="9"/>
      <c r="K1129" s="295"/>
    </row>
    <row r="1130" spans="1:11" ht="13.15" customHeight="1" x14ac:dyDescent="0.2">
      <c r="A1130" s="33" t="s">
        <v>913</v>
      </c>
      <c r="B1130" s="9"/>
      <c r="C1130" s="9"/>
      <c r="D1130" s="9"/>
      <c r="E1130" s="9"/>
      <c r="F1130" s="9"/>
      <c r="G1130" s="9"/>
      <c r="H1130" s="9"/>
      <c r="I1130" s="9"/>
      <c r="J1130" s="9"/>
      <c r="K1130" s="295"/>
    </row>
    <row r="1131" spans="1:11" x14ac:dyDescent="0.2">
      <c r="A1131" s="454"/>
      <c r="B1131" s="455"/>
      <c r="C1131" s="455"/>
      <c r="D1131" s="455"/>
      <c r="E1131" s="455"/>
      <c r="F1131" s="455"/>
      <c r="G1131" s="455"/>
      <c r="H1131" s="455"/>
      <c r="I1131" s="455"/>
      <c r="J1131" s="456"/>
      <c r="K1131" s="295"/>
    </row>
    <row r="1132" spans="1:11" x14ac:dyDescent="0.2">
      <c r="A1132" s="457"/>
      <c r="B1132" s="458"/>
      <c r="C1132" s="458"/>
      <c r="D1132" s="458"/>
      <c r="E1132" s="458"/>
      <c r="F1132" s="458"/>
      <c r="G1132" s="458"/>
      <c r="H1132" s="458"/>
      <c r="I1132" s="458"/>
      <c r="J1132" s="459"/>
      <c r="K1132" s="295"/>
    </row>
    <row r="1133" spans="1:11" x14ac:dyDescent="0.2">
      <c r="A1133" s="457"/>
      <c r="B1133" s="458"/>
      <c r="C1133" s="458"/>
      <c r="D1133" s="458"/>
      <c r="E1133" s="458"/>
      <c r="F1133" s="458"/>
      <c r="G1133" s="458"/>
      <c r="H1133" s="458"/>
      <c r="I1133" s="458"/>
      <c r="J1133" s="459"/>
      <c r="K1133" s="295"/>
    </row>
    <row r="1134" spans="1:11" x14ac:dyDescent="0.2">
      <c r="A1134" s="457"/>
      <c r="B1134" s="458"/>
      <c r="C1134" s="458"/>
      <c r="D1134" s="458"/>
      <c r="E1134" s="458"/>
      <c r="F1134" s="458"/>
      <c r="G1134" s="458"/>
      <c r="H1134" s="458"/>
      <c r="I1134" s="458"/>
      <c r="J1134" s="459"/>
      <c r="K1134" s="295"/>
    </row>
    <row r="1135" spans="1:11" x14ac:dyDescent="0.2">
      <c r="A1135" s="457"/>
      <c r="B1135" s="458"/>
      <c r="C1135" s="458"/>
      <c r="D1135" s="458"/>
      <c r="E1135" s="458"/>
      <c r="F1135" s="458"/>
      <c r="G1135" s="458"/>
      <c r="H1135" s="458"/>
      <c r="I1135" s="458"/>
      <c r="J1135" s="459"/>
      <c r="K1135" s="295"/>
    </row>
    <row r="1136" spans="1:11" x14ac:dyDescent="0.2">
      <c r="A1136" s="460"/>
      <c r="B1136" s="461"/>
      <c r="C1136" s="461"/>
      <c r="D1136" s="461"/>
      <c r="E1136" s="461"/>
      <c r="F1136" s="461"/>
      <c r="G1136" s="461"/>
      <c r="H1136" s="461"/>
      <c r="I1136" s="461"/>
      <c r="J1136" s="462"/>
      <c r="K1136" s="295"/>
    </row>
    <row r="1137" spans="1:11" x14ac:dyDescent="0.2">
      <c r="A1137" s="9"/>
      <c r="B1137" s="9"/>
      <c r="C1137" s="9"/>
      <c r="D1137" s="9"/>
      <c r="E1137" s="9"/>
      <c r="F1137" s="9"/>
      <c r="G1137" s="9"/>
      <c r="H1137" s="9"/>
      <c r="I1137" s="9"/>
      <c r="J1137" s="9"/>
      <c r="K1137" s="295"/>
    </row>
    <row r="1138" spans="1:11" ht="13.15" customHeight="1" x14ac:dyDescent="0.2">
      <c r="A1138" s="33" t="s">
        <v>915</v>
      </c>
      <c r="B1138" s="9"/>
      <c r="C1138" s="9"/>
      <c r="D1138" s="9"/>
      <c r="E1138" s="9"/>
      <c r="F1138" s="9"/>
      <c r="G1138" s="9"/>
      <c r="H1138" s="9"/>
      <c r="I1138" s="9"/>
      <c r="J1138" s="9"/>
      <c r="K1138" s="295"/>
    </row>
    <row r="1139" spans="1:11" x14ac:dyDescent="0.2">
      <c r="A1139" s="454"/>
      <c r="B1139" s="455"/>
      <c r="C1139" s="455"/>
      <c r="D1139" s="455"/>
      <c r="E1139" s="455"/>
      <c r="F1139" s="455"/>
      <c r="G1139" s="455"/>
      <c r="H1139" s="455"/>
      <c r="I1139" s="455"/>
      <c r="J1139" s="456"/>
      <c r="K1139" s="295"/>
    </row>
    <row r="1140" spans="1:11" x14ac:dyDescent="0.2">
      <c r="A1140" s="457"/>
      <c r="B1140" s="458"/>
      <c r="C1140" s="458"/>
      <c r="D1140" s="458"/>
      <c r="E1140" s="458"/>
      <c r="F1140" s="458"/>
      <c r="G1140" s="458"/>
      <c r="H1140" s="458"/>
      <c r="I1140" s="458"/>
      <c r="J1140" s="459"/>
      <c r="K1140" s="295"/>
    </row>
    <row r="1141" spans="1:11" x14ac:dyDescent="0.2">
      <c r="A1141" s="457"/>
      <c r="B1141" s="458"/>
      <c r="C1141" s="458"/>
      <c r="D1141" s="458"/>
      <c r="E1141" s="458"/>
      <c r="F1141" s="458"/>
      <c r="G1141" s="458"/>
      <c r="H1141" s="458"/>
      <c r="I1141" s="458"/>
      <c r="J1141" s="459"/>
      <c r="K1141" s="295"/>
    </row>
    <row r="1142" spans="1:11" x14ac:dyDescent="0.2">
      <c r="A1142" s="457"/>
      <c r="B1142" s="458"/>
      <c r="C1142" s="458"/>
      <c r="D1142" s="458"/>
      <c r="E1142" s="458"/>
      <c r="F1142" s="458"/>
      <c r="G1142" s="458"/>
      <c r="H1142" s="458"/>
      <c r="I1142" s="458"/>
      <c r="J1142" s="459"/>
      <c r="K1142" s="295"/>
    </row>
    <row r="1143" spans="1:11" x14ac:dyDescent="0.2">
      <c r="A1143" s="457"/>
      <c r="B1143" s="458"/>
      <c r="C1143" s="458"/>
      <c r="D1143" s="458"/>
      <c r="E1143" s="458"/>
      <c r="F1143" s="458"/>
      <c r="G1143" s="458"/>
      <c r="H1143" s="458"/>
      <c r="I1143" s="458"/>
      <c r="J1143" s="459"/>
      <c r="K1143" s="295"/>
    </row>
    <row r="1144" spans="1:11" x14ac:dyDescent="0.2">
      <c r="A1144" s="460"/>
      <c r="B1144" s="461"/>
      <c r="C1144" s="461"/>
      <c r="D1144" s="461"/>
      <c r="E1144" s="461"/>
      <c r="F1144" s="461"/>
      <c r="G1144" s="461"/>
      <c r="H1144" s="461"/>
      <c r="I1144" s="461"/>
      <c r="J1144" s="462"/>
      <c r="K1144" s="295"/>
    </row>
    <row r="1145" spans="1:11" x14ac:dyDescent="0.2">
      <c r="A1145" s="9"/>
      <c r="B1145" s="9"/>
      <c r="C1145" s="9"/>
      <c r="D1145" s="9"/>
      <c r="E1145" s="9"/>
      <c r="F1145" s="9"/>
      <c r="G1145" s="9"/>
      <c r="H1145" s="9"/>
      <c r="I1145" s="9"/>
      <c r="J1145" s="9"/>
      <c r="K1145" s="295"/>
    </row>
    <row r="1146" spans="1:11" ht="13.15" customHeight="1" x14ac:dyDescent="0.2">
      <c r="A1146" s="33" t="s">
        <v>916</v>
      </c>
      <c r="B1146" s="9"/>
      <c r="C1146" s="9"/>
      <c r="D1146" s="9"/>
      <c r="E1146" s="9"/>
      <c r="F1146" s="9"/>
      <c r="G1146" s="9"/>
      <c r="H1146" s="9"/>
      <c r="I1146" s="9"/>
      <c r="J1146" s="9"/>
      <c r="K1146" s="295"/>
    </row>
    <row r="1147" spans="1:11" x14ac:dyDescent="0.2">
      <c r="A1147" s="454"/>
      <c r="B1147" s="455"/>
      <c r="C1147" s="455"/>
      <c r="D1147" s="455"/>
      <c r="E1147" s="455"/>
      <c r="F1147" s="455"/>
      <c r="G1147" s="455"/>
      <c r="H1147" s="455"/>
      <c r="I1147" s="455"/>
      <c r="J1147" s="456"/>
      <c r="K1147" s="295"/>
    </row>
    <row r="1148" spans="1:11" x14ac:dyDescent="0.2">
      <c r="A1148" s="457"/>
      <c r="B1148" s="458"/>
      <c r="C1148" s="458"/>
      <c r="D1148" s="458"/>
      <c r="E1148" s="458"/>
      <c r="F1148" s="458"/>
      <c r="G1148" s="458"/>
      <c r="H1148" s="458"/>
      <c r="I1148" s="458"/>
      <c r="J1148" s="459"/>
      <c r="K1148" s="295"/>
    </row>
    <row r="1149" spans="1:11" x14ac:dyDescent="0.2">
      <c r="A1149" s="457"/>
      <c r="B1149" s="458"/>
      <c r="C1149" s="458"/>
      <c r="D1149" s="458"/>
      <c r="E1149" s="458"/>
      <c r="F1149" s="458"/>
      <c r="G1149" s="458"/>
      <c r="H1149" s="458"/>
      <c r="I1149" s="458"/>
      <c r="J1149" s="459"/>
      <c r="K1149" s="295"/>
    </row>
    <row r="1150" spans="1:11" x14ac:dyDescent="0.2">
      <c r="A1150" s="457"/>
      <c r="B1150" s="458"/>
      <c r="C1150" s="458"/>
      <c r="D1150" s="458"/>
      <c r="E1150" s="458"/>
      <c r="F1150" s="458"/>
      <c r="G1150" s="458"/>
      <c r="H1150" s="458"/>
      <c r="I1150" s="458"/>
      <c r="J1150" s="459"/>
      <c r="K1150" s="295"/>
    </row>
    <row r="1151" spans="1:11" x14ac:dyDescent="0.2">
      <c r="A1151" s="457"/>
      <c r="B1151" s="458"/>
      <c r="C1151" s="458"/>
      <c r="D1151" s="458"/>
      <c r="E1151" s="458"/>
      <c r="F1151" s="458"/>
      <c r="G1151" s="458"/>
      <c r="H1151" s="458"/>
      <c r="I1151" s="458"/>
      <c r="J1151" s="459"/>
      <c r="K1151" s="295"/>
    </row>
    <row r="1152" spans="1:11" x14ac:dyDescent="0.2">
      <c r="A1152" s="460"/>
      <c r="B1152" s="461"/>
      <c r="C1152" s="461"/>
      <c r="D1152" s="461"/>
      <c r="E1152" s="461"/>
      <c r="F1152" s="461"/>
      <c r="G1152" s="461"/>
      <c r="H1152" s="461"/>
      <c r="I1152" s="461"/>
      <c r="J1152" s="462"/>
      <c r="K1152" s="295"/>
    </row>
    <row r="1153" spans="1:11" x14ac:dyDescent="0.2">
      <c r="A1153" s="9"/>
      <c r="B1153" s="9"/>
      <c r="C1153" s="9"/>
      <c r="D1153" s="9"/>
      <c r="E1153" s="9"/>
      <c r="F1153" s="9"/>
      <c r="G1153" s="9"/>
      <c r="H1153" s="9"/>
      <c r="I1153" s="9"/>
      <c r="J1153" s="9"/>
      <c r="K1153" s="295"/>
    </row>
    <row r="1154" spans="1:11" ht="13.15" customHeight="1" x14ac:dyDescent="0.2">
      <c r="A1154" s="33" t="s">
        <v>935</v>
      </c>
      <c r="B1154" s="9"/>
      <c r="C1154" s="9"/>
      <c r="D1154" s="9"/>
      <c r="E1154" s="9"/>
      <c r="F1154" s="9"/>
      <c r="G1154" s="9"/>
      <c r="H1154" s="9"/>
      <c r="I1154" s="9"/>
      <c r="J1154" s="9"/>
      <c r="K1154" s="295"/>
    </row>
    <row r="1155" spans="1:11" x14ac:dyDescent="0.2">
      <c r="A1155" s="454"/>
      <c r="B1155" s="455"/>
      <c r="C1155" s="455"/>
      <c r="D1155" s="455"/>
      <c r="E1155" s="455"/>
      <c r="F1155" s="455"/>
      <c r="G1155" s="455"/>
      <c r="H1155" s="455"/>
      <c r="I1155" s="455"/>
      <c r="J1155" s="456"/>
      <c r="K1155" s="295"/>
    </row>
    <row r="1156" spans="1:11" x14ac:dyDescent="0.2">
      <c r="A1156" s="457"/>
      <c r="B1156" s="458"/>
      <c r="C1156" s="458"/>
      <c r="D1156" s="458"/>
      <c r="E1156" s="458"/>
      <c r="F1156" s="458"/>
      <c r="G1156" s="458"/>
      <c r="H1156" s="458"/>
      <c r="I1156" s="458"/>
      <c r="J1156" s="459"/>
      <c r="K1156" s="295"/>
    </row>
    <row r="1157" spans="1:11" x14ac:dyDescent="0.2">
      <c r="A1157" s="457"/>
      <c r="B1157" s="458"/>
      <c r="C1157" s="458"/>
      <c r="D1157" s="458"/>
      <c r="E1157" s="458"/>
      <c r="F1157" s="458"/>
      <c r="G1157" s="458"/>
      <c r="H1157" s="458"/>
      <c r="I1157" s="458"/>
      <c r="J1157" s="459"/>
      <c r="K1157" s="295"/>
    </row>
    <row r="1158" spans="1:11" x14ac:dyDescent="0.2">
      <c r="A1158" s="457"/>
      <c r="B1158" s="458"/>
      <c r="C1158" s="458"/>
      <c r="D1158" s="458"/>
      <c r="E1158" s="458"/>
      <c r="F1158" s="458"/>
      <c r="G1158" s="458"/>
      <c r="H1158" s="458"/>
      <c r="I1158" s="458"/>
      <c r="J1158" s="459"/>
      <c r="K1158" s="295"/>
    </row>
    <row r="1159" spans="1:11" x14ac:dyDescent="0.2">
      <c r="A1159" s="457"/>
      <c r="B1159" s="458"/>
      <c r="C1159" s="458"/>
      <c r="D1159" s="458"/>
      <c r="E1159" s="458"/>
      <c r="F1159" s="458"/>
      <c r="G1159" s="458"/>
      <c r="H1159" s="458"/>
      <c r="I1159" s="458"/>
      <c r="J1159" s="459"/>
      <c r="K1159" s="295"/>
    </row>
    <row r="1160" spans="1:11" x14ac:dyDescent="0.2">
      <c r="A1160" s="460"/>
      <c r="B1160" s="461"/>
      <c r="C1160" s="461"/>
      <c r="D1160" s="461"/>
      <c r="E1160" s="461"/>
      <c r="F1160" s="461"/>
      <c r="G1160" s="461"/>
      <c r="H1160" s="461"/>
      <c r="I1160" s="461"/>
      <c r="J1160" s="462"/>
      <c r="K1160" s="295"/>
    </row>
    <row r="1161" spans="1:11" x14ac:dyDescent="0.2">
      <c r="A1161" s="9"/>
      <c r="B1161" s="9"/>
      <c r="C1161" s="9"/>
      <c r="D1161" s="9"/>
      <c r="E1161" s="9"/>
      <c r="F1161" s="9"/>
      <c r="G1161" s="9"/>
      <c r="H1161" s="9"/>
      <c r="I1161" s="9"/>
      <c r="J1161" s="9"/>
      <c r="K1161" s="295"/>
    </row>
    <row r="1162" spans="1:11" ht="13.15" customHeight="1" x14ac:dyDescent="0.2">
      <c r="A1162" s="33" t="s">
        <v>936</v>
      </c>
      <c r="B1162" s="9"/>
      <c r="C1162" s="9"/>
      <c r="D1162" s="9"/>
      <c r="E1162" s="9"/>
      <c r="F1162" s="9"/>
      <c r="G1162" s="9"/>
      <c r="H1162" s="9"/>
      <c r="I1162" s="9"/>
      <c r="J1162" s="9"/>
      <c r="K1162" s="295"/>
    </row>
    <row r="1163" spans="1:11" x14ac:dyDescent="0.2">
      <c r="A1163" s="454"/>
      <c r="B1163" s="455"/>
      <c r="C1163" s="455"/>
      <c r="D1163" s="455"/>
      <c r="E1163" s="455"/>
      <c r="F1163" s="455"/>
      <c r="G1163" s="455"/>
      <c r="H1163" s="455"/>
      <c r="I1163" s="455"/>
      <c r="J1163" s="456"/>
      <c r="K1163" s="295"/>
    </row>
    <row r="1164" spans="1:11" x14ac:dyDescent="0.2">
      <c r="A1164" s="457"/>
      <c r="B1164" s="458"/>
      <c r="C1164" s="458"/>
      <c r="D1164" s="458"/>
      <c r="E1164" s="458"/>
      <c r="F1164" s="458"/>
      <c r="G1164" s="458"/>
      <c r="H1164" s="458"/>
      <c r="I1164" s="458"/>
      <c r="J1164" s="459"/>
      <c r="K1164" s="295"/>
    </row>
    <row r="1165" spans="1:11" x14ac:dyDescent="0.2">
      <c r="A1165" s="457"/>
      <c r="B1165" s="458"/>
      <c r="C1165" s="458"/>
      <c r="D1165" s="458"/>
      <c r="E1165" s="458"/>
      <c r="F1165" s="458"/>
      <c r="G1165" s="458"/>
      <c r="H1165" s="458"/>
      <c r="I1165" s="458"/>
      <c r="J1165" s="459"/>
      <c r="K1165" s="295"/>
    </row>
    <row r="1166" spans="1:11" x14ac:dyDescent="0.2">
      <c r="A1166" s="457"/>
      <c r="B1166" s="458"/>
      <c r="C1166" s="458"/>
      <c r="D1166" s="458"/>
      <c r="E1166" s="458"/>
      <c r="F1166" s="458"/>
      <c r="G1166" s="458"/>
      <c r="H1166" s="458"/>
      <c r="I1166" s="458"/>
      <c r="J1166" s="459"/>
      <c r="K1166" s="295"/>
    </row>
    <row r="1167" spans="1:11" x14ac:dyDescent="0.2">
      <c r="A1167" s="457"/>
      <c r="B1167" s="458"/>
      <c r="C1167" s="458"/>
      <c r="D1167" s="458"/>
      <c r="E1167" s="458"/>
      <c r="F1167" s="458"/>
      <c r="G1167" s="458"/>
      <c r="H1167" s="458"/>
      <c r="I1167" s="458"/>
      <c r="J1167" s="459"/>
      <c r="K1167" s="295"/>
    </row>
    <row r="1168" spans="1:11" x14ac:dyDescent="0.2">
      <c r="A1168" s="460"/>
      <c r="B1168" s="461"/>
      <c r="C1168" s="461"/>
      <c r="D1168" s="461"/>
      <c r="E1168" s="461"/>
      <c r="F1168" s="461"/>
      <c r="G1168" s="461"/>
      <c r="H1168" s="461"/>
      <c r="I1168" s="461"/>
      <c r="J1168" s="462"/>
      <c r="K1168" s="295"/>
    </row>
    <row r="1169" spans="1:11" x14ac:dyDescent="0.2">
      <c r="A1169" s="9"/>
      <c r="B1169" s="9"/>
      <c r="C1169" s="9"/>
      <c r="D1169" s="9"/>
      <c r="E1169" s="9"/>
      <c r="F1169" s="9"/>
      <c r="G1169" s="9"/>
      <c r="H1169" s="9"/>
      <c r="I1169" s="9"/>
      <c r="J1169" s="9"/>
      <c r="K1169" s="295"/>
    </row>
    <row r="1170" spans="1:11" x14ac:dyDescent="0.2">
      <c r="A1170" s="9"/>
      <c r="B1170" s="9"/>
      <c r="C1170" s="9"/>
      <c r="D1170" s="9"/>
      <c r="E1170" s="9"/>
      <c r="F1170" s="9"/>
      <c r="G1170" s="9"/>
      <c r="H1170" s="9"/>
      <c r="I1170" s="9"/>
      <c r="J1170" s="9"/>
      <c r="K1170" s="295"/>
    </row>
    <row r="1171" spans="1:11" x14ac:dyDescent="0.2">
      <c r="A1171" s="441" t="s">
        <v>1060</v>
      </c>
      <c r="B1171" s="441"/>
      <c r="C1171" s="441"/>
      <c r="D1171" s="441"/>
      <c r="E1171" s="441"/>
      <c r="F1171" s="441"/>
      <c r="G1171" s="441"/>
      <c r="H1171" s="441"/>
      <c r="I1171" s="441"/>
      <c r="J1171" s="441"/>
      <c r="K1171" s="295"/>
    </row>
    <row r="1172" spans="1:11" x14ac:dyDescent="0.2">
      <c r="A1172" s="441" t="s">
        <v>1061</v>
      </c>
      <c r="B1172" s="441"/>
      <c r="C1172" s="441"/>
      <c r="D1172" s="441"/>
      <c r="E1172" s="441"/>
      <c r="F1172" s="441"/>
      <c r="G1172" s="441"/>
      <c r="H1172" s="441"/>
      <c r="I1172" s="441"/>
      <c r="J1172" s="441"/>
      <c r="K1172" s="295"/>
    </row>
    <row r="1173" spans="1:11" ht="12.75" customHeight="1" x14ac:dyDescent="0.2">
      <c r="A1173" s="441" t="s">
        <v>88</v>
      </c>
      <c r="B1173" s="441"/>
      <c r="C1173" s="441"/>
      <c r="D1173" s="441"/>
      <c r="E1173" s="441"/>
      <c r="F1173" s="441"/>
      <c r="G1173" s="441"/>
      <c r="H1173" s="441"/>
      <c r="I1173" s="441"/>
      <c r="J1173" s="441"/>
      <c r="K1173" s="295"/>
    </row>
    <row r="1174" spans="1:11" x14ac:dyDescent="0.2">
      <c r="A1174" s="26"/>
      <c r="B1174" s="9"/>
      <c r="C1174" s="9"/>
      <c r="D1174" s="446" t="str">
        <f>IF($B$229="","",$B$229)</f>
        <v/>
      </c>
      <c r="E1174" s="446"/>
      <c r="F1174" s="446"/>
      <c r="G1174" s="446"/>
      <c r="H1174" s="9"/>
      <c r="I1174" s="27"/>
      <c r="J1174" s="9"/>
      <c r="K1174" s="295"/>
    </row>
    <row r="1175" spans="1:11" x14ac:dyDescent="0.2">
      <c r="A1175" s="42"/>
      <c r="B1175" s="42"/>
      <c r="C1175" s="42"/>
      <c r="D1175" s="443" t="s">
        <v>1143</v>
      </c>
      <c r="E1175" s="443"/>
      <c r="F1175" s="443"/>
      <c r="G1175" s="443"/>
      <c r="H1175" s="42"/>
      <c r="I1175" s="42"/>
      <c r="J1175" s="42"/>
      <c r="K1175" s="295"/>
    </row>
    <row r="1176" spans="1:11" x14ac:dyDescent="0.2">
      <c r="A1176" s="443" t="s">
        <v>937</v>
      </c>
      <c r="B1176" s="443"/>
      <c r="C1176" s="443"/>
      <c r="D1176" s="443"/>
      <c r="E1176" s="443"/>
      <c r="F1176" s="443"/>
      <c r="G1176" s="443"/>
      <c r="H1176" s="443"/>
      <c r="I1176" s="443"/>
      <c r="J1176" s="443"/>
      <c r="K1176" s="295"/>
    </row>
    <row r="1177" spans="1:11" ht="13.15" customHeight="1" x14ac:dyDescent="0.2">
      <c r="A1177" s="9"/>
      <c r="B1177" s="9"/>
      <c r="C1177" s="9"/>
      <c r="D1177" s="9"/>
      <c r="E1177" s="9"/>
      <c r="F1177" s="9"/>
      <c r="G1177" s="9"/>
      <c r="H1177" s="9"/>
      <c r="I1177" s="9"/>
      <c r="J1177" s="9"/>
      <c r="K1177" s="295"/>
    </row>
    <row r="1178" spans="1:11" x14ac:dyDescent="0.2">
      <c r="A1178" s="657" t="s">
        <v>938</v>
      </c>
      <c r="B1178" s="657"/>
      <c r="C1178" s="657"/>
      <c r="D1178" s="657"/>
      <c r="E1178" s="657"/>
      <c r="F1178" s="657"/>
      <c r="G1178" s="657"/>
      <c r="H1178" s="657"/>
      <c r="I1178" s="657"/>
      <c r="J1178" s="657"/>
      <c r="K1178" s="295"/>
    </row>
    <row r="1179" spans="1:11" ht="12.75" customHeight="1" x14ac:dyDescent="0.2">
      <c r="A1179" s="657"/>
      <c r="B1179" s="657"/>
      <c r="C1179" s="657"/>
      <c r="D1179" s="657"/>
      <c r="E1179" s="657"/>
      <c r="F1179" s="657"/>
      <c r="G1179" s="657"/>
      <c r="H1179" s="657"/>
      <c r="I1179" s="657"/>
      <c r="J1179" s="657"/>
      <c r="K1179" s="295"/>
    </row>
    <row r="1180" spans="1:11" x14ac:dyDescent="0.2">
      <c r="A1180" s="9"/>
      <c r="B1180" s="9"/>
      <c r="C1180" s="9"/>
      <c r="D1180" s="9"/>
      <c r="E1180" s="9"/>
      <c r="F1180" s="9"/>
      <c r="G1180" s="9"/>
      <c r="H1180" s="9"/>
      <c r="I1180" s="9"/>
      <c r="J1180" s="9"/>
      <c r="K1180" s="295"/>
    </row>
    <row r="1181" spans="1:11" ht="13.15" customHeight="1" x14ac:dyDescent="0.2">
      <c r="A1181" s="49" t="s">
        <v>939</v>
      </c>
      <c r="B1181" s="49"/>
      <c r="C1181" s="72" t="s">
        <v>940</v>
      </c>
      <c r="D1181" s="72"/>
      <c r="E1181" s="72"/>
      <c r="F1181" s="72"/>
      <c r="G1181" s="72"/>
      <c r="H1181" s="72"/>
      <c r="I1181" s="72"/>
      <c r="J1181" s="54" t="s">
        <v>941</v>
      </c>
      <c r="K1181" s="295"/>
    </row>
    <row r="1182" spans="1:11" ht="12.75" customHeight="1" x14ac:dyDescent="0.2">
      <c r="A1182" s="36" t="s">
        <v>16</v>
      </c>
      <c r="B1182" s="9"/>
      <c r="C1182" s="454"/>
      <c r="D1182" s="455"/>
      <c r="E1182" s="455"/>
      <c r="F1182" s="455"/>
      <c r="G1182" s="455"/>
      <c r="H1182" s="455"/>
      <c r="I1182" s="456"/>
      <c r="J1182" s="156"/>
      <c r="K1182" s="295"/>
    </row>
    <row r="1183" spans="1:11" x14ac:dyDescent="0.2">
      <c r="A1183" s="36" t="s">
        <v>15</v>
      </c>
      <c r="B1183" s="9"/>
      <c r="C1183" s="457"/>
      <c r="D1183" s="458"/>
      <c r="E1183" s="458"/>
      <c r="F1183" s="458"/>
      <c r="G1183" s="458"/>
      <c r="H1183" s="458"/>
      <c r="I1183" s="459"/>
      <c r="J1183" s="29" t="s">
        <v>516</v>
      </c>
      <c r="K1183" s="295"/>
    </row>
    <row r="1184" spans="1:11" x14ac:dyDescent="0.2">
      <c r="A1184" s="9"/>
      <c r="B1184" s="9"/>
      <c r="C1184" s="457"/>
      <c r="D1184" s="458"/>
      <c r="E1184" s="458"/>
      <c r="F1184" s="458"/>
      <c r="G1184" s="458"/>
      <c r="H1184" s="458"/>
      <c r="I1184" s="459"/>
      <c r="J1184" s="9"/>
      <c r="K1184" s="295"/>
    </row>
    <row r="1185" spans="1:11" x14ac:dyDescent="0.2">
      <c r="A1185" s="9"/>
      <c r="B1185" s="9"/>
      <c r="C1185" s="457"/>
      <c r="D1185" s="458"/>
      <c r="E1185" s="458"/>
      <c r="F1185" s="458"/>
      <c r="G1185" s="458"/>
      <c r="H1185" s="458"/>
      <c r="I1185" s="459"/>
      <c r="J1185" s="9"/>
      <c r="K1185" s="295"/>
    </row>
    <row r="1186" spans="1:11" ht="13.15" customHeight="1" x14ac:dyDescent="0.2">
      <c r="A1186" s="9"/>
      <c r="B1186" s="9"/>
      <c r="C1186" s="460"/>
      <c r="D1186" s="461"/>
      <c r="E1186" s="461"/>
      <c r="F1186" s="461"/>
      <c r="G1186" s="461"/>
      <c r="H1186" s="461"/>
      <c r="I1186" s="462"/>
      <c r="J1186" s="9"/>
      <c r="K1186" s="295"/>
    </row>
    <row r="1187" spans="1:11" x14ac:dyDescent="0.2">
      <c r="A1187" s="36" t="s">
        <v>942</v>
      </c>
      <c r="B1187" s="9"/>
      <c r="C1187" s="454"/>
      <c r="D1187" s="455"/>
      <c r="E1187" s="455"/>
      <c r="F1187" s="455"/>
      <c r="G1187" s="455"/>
      <c r="H1187" s="455"/>
      <c r="I1187" s="456"/>
      <c r="J1187" s="156"/>
      <c r="K1187" s="295"/>
    </row>
    <row r="1188" spans="1:11" x14ac:dyDescent="0.2">
      <c r="A1188" s="36" t="s">
        <v>943</v>
      </c>
      <c r="B1188" s="9"/>
      <c r="C1188" s="457"/>
      <c r="D1188" s="458"/>
      <c r="E1188" s="458"/>
      <c r="F1188" s="458"/>
      <c r="G1188" s="458"/>
      <c r="H1188" s="458"/>
      <c r="I1188" s="459"/>
      <c r="J1188" s="29" t="s">
        <v>516</v>
      </c>
      <c r="K1188" s="295"/>
    </row>
    <row r="1189" spans="1:11" x14ac:dyDescent="0.2">
      <c r="A1189" s="9"/>
      <c r="B1189" s="9"/>
      <c r="C1189" s="457"/>
      <c r="D1189" s="458"/>
      <c r="E1189" s="458"/>
      <c r="F1189" s="458"/>
      <c r="G1189" s="458"/>
      <c r="H1189" s="458"/>
      <c r="I1189" s="459"/>
      <c r="J1189" s="9"/>
      <c r="K1189" s="295"/>
    </row>
    <row r="1190" spans="1:11" x14ac:dyDescent="0.2">
      <c r="A1190" s="9"/>
      <c r="B1190" s="9"/>
      <c r="C1190" s="457"/>
      <c r="D1190" s="458"/>
      <c r="E1190" s="458"/>
      <c r="F1190" s="458"/>
      <c r="G1190" s="458"/>
      <c r="H1190" s="458"/>
      <c r="I1190" s="459"/>
      <c r="J1190" s="9"/>
      <c r="K1190" s="295"/>
    </row>
    <row r="1191" spans="1:11" ht="13.15" customHeight="1" x14ac:dyDescent="0.2">
      <c r="A1191" s="9"/>
      <c r="B1191" s="9"/>
      <c r="C1191" s="460"/>
      <c r="D1191" s="461"/>
      <c r="E1191" s="461"/>
      <c r="F1191" s="461"/>
      <c r="G1191" s="461"/>
      <c r="H1191" s="461"/>
      <c r="I1191" s="462"/>
      <c r="J1191" s="9"/>
      <c r="K1191" s="295"/>
    </row>
    <row r="1192" spans="1:11" x14ac:dyDescent="0.2">
      <c r="A1192" s="36" t="s">
        <v>944</v>
      </c>
      <c r="B1192" s="9"/>
      <c r="C1192" s="454"/>
      <c r="D1192" s="455"/>
      <c r="E1192" s="455"/>
      <c r="F1192" s="455"/>
      <c r="G1192" s="455"/>
      <c r="H1192" s="455"/>
      <c r="I1192" s="456"/>
      <c r="J1192" s="156"/>
      <c r="K1192" s="295"/>
    </row>
    <row r="1193" spans="1:11" x14ac:dyDescent="0.2">
      <c r="A1193" s="9"/>
      <c r="B1193" s="9"/>
      <c r="C1193" s="457"/>
      <c r="D1193" s="458"/>
      <c r="E1193" s="458"/>
      <c r="F1193" s="458"/>
      <c r="G1193" s="458"/>
      <c r="H1193" s="458"/>
      <c r="I1193" s="459"/>
      <c r="J1193" s="29" t="s">
        <v>516</v>
      </c>
      <c r="K1193" s="295"/>
    </row>
    <row r="1194" spans="1:11" x14ac:dyDescent="0.2">
      <c r="A1194" s="9"/>
      <c r="B1194" s="9"/>
      <c r="C1194" s="457"/>
      <c r="D1194" s="458"/>
      <c r="E1194" s="458"/>
      <c r="F1194" s="458"/>
      <c r="G1194" s="458"/>
      <c r="H1194" s="458"/>
      <c r="I1194" s="459"/>
      <c r="J1194" s="9"/>
      <c r="K1194" s="295"/>
    </row>
    <row r="1195" spans="1:11" x14ac:dyDescent="0.2">
      <c r="A1195" s="9"/>
      <c r="B1195" s="9"/>
      <c r="C1195" s="457"/>
      <c r="D1195" s="458"/>
      <c r="E1195" s="458"/>
      <c r="F1195" s="458"/>
      <c r="G1195" s="458"/>
      <c r="H1195" s="458"/>
      <c r="I1195" s="459"/>
      <c r="J1195" s="9"/>
      <c r="K1195" s="295"/>
    </row>
    <row r="1196" spans="1:11" ht="13.15" customHeight="1" x14ac:dyDescent="0.2">
      <c r="A1196" s="9"/>
      <c r="B1196" s="9"/>
      <c r="C1196" s="460"/>
      <c r="D1196" s="461"/>
      <c r="E1196" s="461"/>
      <c r="F1196" s="461"/>
      <c r="G1196" s="461"/>
      <c r="H1196" s="461"/>
      <c r="I1196" s="462"/>
      <c r="J1196" s="9"/>
      <c r="K1196" s="295"/>
    </row>
    <row r="1197" spans="1:11" x14ac:dyDescent="0.2">
      <c r="A1197" s="36" t="s">
        <v>18</v>
      </c>
      <c r="B1197" s="9"/>
      <c r="C1197" s="454"/>
      <c r="D1197" s="455"/>
      <c r="E1197" s="455"/>
      <c r="F1197" s="455"/>
      <c r="G1197" s="455"/>
      <c r="H1197" s="455"/>
      <c r="I1197" s="456"/>
      <c r="J1197" s="156"/>
      <c r="K1197" s="295"/>
    </row>
    <row r="1198" spans="1:11" x14ac:dyDescent="0.2">
      <c r="A1198" s="36" t="s">
        <v>17</v>
      </c>
      <c r="B1198" s="9"/>
      <c r="C1198" s="457"/>
      <c r="D1198" s="458"/>
      <c r="E1198" s="458"/>
      <c r="F1198" s="458"/>
      <c r="G1198" s="458"/>
      <c r="H1198" s="458"/>
      <c r="I1198" s="459"/>
      <c r="J1198" s="29" t="s">
        <v>516</v>
      </c>
      <c r="K1198" s="295"/>
    </row>
    <row r="1199" spans="1:11" x14ac:dyDescent="0.2">
      <c r="A1199" s="9"/>
      <c r="B1199" s="9"/>
      <c r="C1199" s="457"/>
      <c r="D1199" s="458"/>
      <c r="E1199" s="458"/>
      <c r="F1199" s="458"/>
      <c r="G1199" s="458"/>
      <c r="H1199" s="458"/>
      <c r="I1199" s="459"/>
      <c r="J1199" s="9"/>
      <c r="K1199" s="295"/>
    </row>
    <row r="1200" spans="1:11" x14ac:dyDescent="0.2">
      <c r="A1200" s="9"/>
      <c r="B1200" s="9"/>
      <c r="C1200" s="457"/>
      <c r="D1200" s="458"/>
      <c r="E1200" s="458"/>
      <c r="F1200" s="458"/>
      <c r="G1200" s="458"/>
      <c r="H1200" s="458"/>
      <c r="I1200" s="459"/>
      <c r="J1200" s="9"/>
      <c r="K1200" s="295"/>
    </row>
    <row r="1201" spans="1:11" ht="13.15" customHeight="1" x14ac:dyDescent="0.2">
      <c r="A1201" s="9"/>
      <c r="B1201" s="9"/>
      <c r="C1201" s="460"/>
      <c r="D1201" s="461"/>
      <c r="E1201" s="461"/>
      <c r="F1201" s="461"/>
      <c r="G1201" s="461"/>
      <c r="H1201" s="461"/>
      <c r="I1201" s="462"/>
      <c r="J1201" s="9"/>
      <c r="K1201" s="295"/>
    </row>
    <row r="1202" spans="1:11" x14ac:dyDescent="0.2">
      <c r="A1202" s="36" t="s">
        <v>945</v>
      </c>
      <c r="B1202" s="9"/>
      <c r="C1202" s="454"/>
      <c r="D1202" s="455"/>
      <c r="E1202" s="455"/>
      <c r="F1202" s="455"/>
      <c r="G1202" s="455"/>
      <c r="H1202" s="455"/>
      <c r="I1202" s="456"/>
      <c r="J1202" s="156"/>
      <c r="K1202" s="295"/>
    </row>
    <row r="1203" spans="1:11" x14ac:dyDescent="0.2">
      <c r="A1203" s="36" t="s">
        <v>946</v>
      </c>
      <c r="B1203" s="9"/>
      <c r="C1203" s="457"/>
      <c r="D1203" s="458"/>
      <c r="E1203" s="458"/>
      <c r="F1203" s="458"/>
      <c r="G1203" s="458"/>
      <c r="H1203" s="458"/>
      <c r="I1203" s="459"/>
      <c r="J1203" s="29" t="s">
        <v>516</v>
      </c>
      <c r="K1203" s="295"/>
    </row>
    <row r="1204" spans="1:11" x14ac:dyDescent="0.2">
      <c r="A1204" s="9"/>
      <c r="B1204" s="9"/>
      <c r="C1204" s="457"/>
      <c r="D1204" s="458"/>
      <c r="E1204" s="458"/>
      <c r="F1204" s="458"/>
      <c r="G1204" s="458"/>
      <c r="H1204" s="458"/>
      <c r="I1204" s="459"/>
      <c r="J1204" s="9"/>
      <c r="K1204" s="295"/>
    </row>
    <row r="1205" spans="1:11" x14ac:dyDescent="0.2">
      <c r="A1205" s="9"/>
      <c r="B1205" s="9"/>
      <c r="C1205" s="457"/>
      <c r="D1205" s="458"/>
      <c r="E1205" s="458"/>
      <c r="F1205" s="458"/>
      <c r="G1205" s="458"/>
      <c r="H1205" s="458"/>
      <c r="I1205" s="459"/>
      <c r="J1205" s="9"/>
      <c r="K1205" s="295"/>
    </row>
    <row r="1206" spans="1:11" ht="13.15" customHeight="1" x14ac:dyDescent="0.2">
      <c r="A1206" s="9"/>
      <c r="B1206" s="9"/>
      <c r="C1206" s="460"/>
      <c r="D1206" s="461"/>
      <c r="E1206" s="461"/>
      <c r="F1206" s="461"/>
      <c r="G1206" s="461"/>
      <c r="H1206" s="461"/>
      <c r="I1206" s="462"/>
      <c r="J1206" s="9"/>
      <c r="K1206" s="295"/>
    </row>
    <row r="1207" spans="1:11" x14ac:dyDescent="0.2">
      <c r="A1207" s="36" t="s">
        <v>947</v>
      </c>
      <c r="B1207" s="9"/>
      <c r="C1207" s="454"/>
      <c r="D1207" s="455"/>
      <c r="E1207" s="455"/>
      <c r="F1207" s="455"/>
      <c r="G1207" s="455"/>
      <c r="H1207" s="455"/>
      <c r="I1207" s="456"/>
      <c r="J1207" s="156"/>
      <c r="K1207" s="295"/>
    </row>
    <row r="1208" spans="1:11" x14ac:dyDescent="0.2">
      <c r="A1208" s="9"/>
      <c r="B1208" s="9"/>
      <c r="C1208" s="457"/>
      <c r="D1208" s="458"/>
      <c r="E1208" s="458"/>
      <c r="F1208" s="458"/>
      <c r="G1208" s="458"/>
      <c r="H1208" s="458"/>
      <c r="I1208" s="459"/>
      <c r="J1208" s="29" t="s">
        <v>516</v>
      </c>
      <c r="K1208" s="295"/>
    </row>
    <row r="1209" spans="1:11" x14ac:dyDescent="0.2">
      <c r="A1209" s="9"/>
      <c r="B1209" s="9"/>
      <c r="C1209" s="457"/>
      <c r="D1209" s="458"/>
      <c r="E1209" s="458"/>
      <c r="F1209" s="458"/>
      <c r="G1209" s="458"/>
      <c r="H1209" s="458"/>
      <c r="I1209" s="459"/>
      <c r="J1209" s="9"/>
      <c r="K1209" s="295"/>
    </row>
    <row r="1210" spans="1:11" x14ac:dyDescent="0.2">
      <c r="A1210" s="9"/>
      <c r="B1210" s="9"/>
      <c r="C1210" s="457"/>
      <c r="D1210" s="458"/>
      <c r="E1210" s="458"/>
      <c r="F1210" s="458"/>
      <c r="G1210" s="458"/>
      <c r="H1210" s="458"/>
      <c r="I1210" s="459"/>
      <c r="J1210" s="9"/>
      <c r="K1210" s="295"/>
    </row>
    <row r="1211" spans="1:11" ht="13.15" customHeight="1" x14ac:dyDescent="0.2">
      <c r="A1211" s="9"/>
      <c r="B1211" s="9"/>
      <c r="C1211" s="460"/>
      <c r="D1211" s="461"/>
      <c r="E1211" s="461"/>
      <c r="F1211" s="461"/>
      <c r="G1211" s="461"/>
      <c r="H1211" s="461"/>
      <c r="I1211" s="462"/>
      <c r="J1211" s="9"/>
      <c r="K1211" s="295"/>
    </row>
    <row r="1212" spans="1:11" x14ac:dyDescent="0.2">
      <c r="A1212" s="36" t="s">
        <v>19</v>
      </c>
      <c r="B1212" s="9"/>
      <c r="C1212" s="454"/>
      <c r="D1212" s="455"/>
      <c r="E1212" s="455"/>
      <c r="F1212" s="455"/>
      <c r="G1212" s="455"/>
      <c r="H1212" s="455"/>
      <c r="I1212" s="456"/>
      <c r="J1212" s="156"/>
      <c r="K1212" s="295"/>
    </row>
    <row r="1213" spans="1:11" x14ac:dyDescent="0.2">
      <c r="A1213" s="9"/>
      <c r="B1213" s="9"/>
      <c r="C1213" s="457"/>
      <c r="D1213" s="458"/>
      <c r="E1213" s="458"/>
      <c r="F1213" s="458"/>
      <c r="G1213" s="458"/>
      <c r="H1213" s="458"/>
      <c r="I1213" s="459"/>
      <c r="J1213" s="29" t="s">
        <v>516</v>
      </c>
      <c r="K1213" s="295"/>
    </row>
    <row r="1214" spans="1:11" x14ac:dyDescent="0.2">
      <c r="A1214" s="9"/>
      <c r="B1214" s="9"/>
      <c r="C1214" s="457"/>
      <c r="D1214" s="458"/>
      <c r="E1214" s="458"/>
      <c r="F1214" s="458"/>
      <c r="G1214" s="458"/>
      <c r="H1214" s="458"/>
      <c r="I1214" s="459"/>
      <c r="J1214" s="9"/>
      <c r="K1214" s="295"/>
    </row>
    <row r="1215" spans="1:11" x14ac:dyDescent="0.2">
      <c r="A1215" s="9"/>
      <c r="B1215" s="9"/>
      <c r="C1215" s="457"/>
      <c r="D1215" s="458"/>
      <c r="E1215" s="458"/>
      <c r="F1215" s="458"/>
      <c r="G1215" s="458"/>
      <c r="H1215" s="458"/>
      <c r="I1215" s="459"/>
      <c r="J1215" s="9"/>
      <c r="K1215" s="295"/>
    </row>
    <row r="1216" spans="1:11" ht="13.15" customHeight="1" x14ac:dyDescent="0.2">
      <c r="A1216" s="9"/>
      <c r="B1216" s="9"/>
      <c r="C1216" s="460"/>
      <c r="D1216" s="461"/>
      <c r="E1216" s="461"/>
      <c r="F1216" s="461"/>
      <c r="G1216" s="461"/>
      <c r="H1216" s="461"/>
      <c r="I1216" s="462"/>
      <c r="J1216" s="9"/>
      <c r="K1216" s="295"/>
    </row>
    <row r="1217" spans="1:11" x14ac:dyDescent="0.2">
      <c r="A1217" s="36" t="s">
        <v>950</v>
      </c>
      <c r="B1217" s="9"/>
      <c r="C1217" s="454"/>
      <c r="D1217" s="455"/>
      <c r="E1217" s="455"/>
      <c r="F1217" s="455"/>
      <c r="G1217" s="455"/>
      <c r="H1217" s="455"/>
      <c r="I1217" s="456"/>
      <c r="J1217" s="156"/>
      <c r="K1217" s="295"/>
    </row>
    <row r="1218" spans="1:11" x14ac:dyDescent="0.2">
      <c r="A1218" s="36" t="s">
        <v>951</v>
      </c>
      <c r="B1218" s="9"/>
      <c r="C1218" s="457"/>
      <c r="D1218" s="458"/>
      <c r="E1218" s="458"/>
      <c r="F1218" s="458"/>
      <c r="G1218" s="458"/>
      <c r="H1218" s="458"/>
      <c r="I1218" s="459"/>
      <c r="J1218" s="29" t="s">
        <v>516</v>
      </c>
      <c r="K1218" s="295"/>
    </row>
    <row r="1219" spans="1:11" x14ac:dyDescent="0.2">
      <c r="A1219" s="9"/>
      <c r="B1219" s="9"/>
      <c r="C1219" s="457"/>
      <c r="D1219" s="458"/>
      <c r="E1219" s="458"/>
      <c r="F1219" s="458"/>
      <c r="G1219" s="458"/>
      <c r="H1219" s="458"/>
      <c r="I1219" s="459"/>
      <c r="J1219" s="9"/>
      <c r="K1219" s="295"/>
    </row>
    <row r="1220" spans="1:11" x14ac:dyDescent="0.2">
      <c r="A1220" s="9"/>
      <c r="B1220" s="9"/>
      <c r="C1220" s="457"/>
      <c r="D1220" s="458"/>
      <c r="E1220" s="458"/>
      <c r="F1220" s="458"/>
      <c r="G1220" s="458"/>
      <c r="H1220" s="458"/>
      <c r="I1220" s="459"/>
      <c r="J1220" s="9"/>
      <c r="K1220" s="295"/>
    </row>
    <row r="1221" spans="1:11" x14ac:dyDescent="0.2">
      <c r="A1221" s="9"/>
      <c r="B1221" s="9"/>
      <c r="C1221" s="460"/>
      <c r="D1221" s="461"/>
      <c r="E1221" s="461"/>
      <c r="F1221" s="461"/>
      <c r="G1221" s="461"/>
      <c r="H1221" s="461"/>
      <c r="I1221" s="462"/>
      <c r="J1221" s="9"/>
      <c r="K1221" s="295"/>
    </row>
    <row r="1222" spans="1:11" x14ac:dyDescent="0.2">
      <c r="A1222" s="9"/>
      <c r="B1222" s="9"/>
      <c r="C1222" s="67"/>
      <c r="D1222" s="67"/>
      <c r="E1222" s="67"/>
      <c r="F1222" s="67"/>
      <c r="G1222" s="67"/>
      <c r="H1222" s="67"/>
      <c r="I1222" s="67"/>
      <c r="J1222" s="9"/>
      <c r="K1222" s="295"/>
    </row>
    <row r="1223" spans="1:11" x14ac:dyDescent="0.2">
      <c r="A1223" s="9"/>
      <c r="B1223" s="9"/>
      <c r="C1223" s="9"/>
      <c r="D1223" s="9"/>
      <c r="E1223" s="9"/>
      <c r="F1223" s="9"/>
      <c r="G1223" s="9"/>
      <c r="H1223" s="9"/>
      <c r="I1223" s="9"/>
      <c r="J1223" s="9"/>
      <c r="K1223" s="295"/>
    </row>
    <row r="1224" spans="1:11" x14ac:dyDescent="0.2">
      <c r="A1224" s="441" t="s">
        <v>1060</v>
      </c>
      <c r="B1224" s="441"/>
      <c r="C1224" s="441"/>
      <c r="D1224" s="441"/>
      <c r="E1224" s="441"/>
      <c r="F1224" s="441"/>
      <c r="G1224" s="441"/>
      <c r="H1224" s="441"/>
      <c r="I1224" s="441"/>
      <c r="J1224" s="441"/>
      <c r="K1224" s="295"/>
    </row>
    <row r="1225" spans="1:11" x14ac:dyDescent="0.2">
      <c r="A1225" s="441" t="s">
        <v>1061</v>
      </c>
      <c r="B1225" s="441"/>
      <c r="C1225" s="441"/>
      <c r="D1225" s="441"/>
      <c r="E1225" s="441"/>
      <c r="F1225" s="441"/>
      <c r="G1225" s="441"/>
      <c r="H1225" s="441"/>
      <c r="I1225" s="441"/>
      <c r="J1225" s="441"/>
      <c r="K1225" s="295"/>
    </row>
    <row r="1226" spans="1:11" x14ac:dyDescent="0.2">
      <c r="A1226" s="441" t="s">
        <v>88</v>
      </c>
      <c r="B1226" s="441"/>
      <c r="C1226" s="441"/>
      <c r="D1226" s="441"/>
      <c r="E1226" s="441"/>
      <c r="F1226" s="441"/>
      <c r="G1226" s="441"/>
      <c r="H1226" s="441"/>
      <c r="I1226" s="441"/>
      <c r="J1226" s="441"/>
      <c r="K1226" s="295"/>
    </row>
    <row r="1227" spans="1:11" x14ac:dyDescent="0.2">
      <c r="A1227" s="26"/>
      <c r="B1227" s="9"/>
      <c r="C1227" s="9"/>
      <c r="D1227" s="446" t="str">
        <f>IF($B$229="","",$B$229)</f>
        <v/>
      </c>
      <c r="E1227" s="446"/>
      <c r="F1227" s="446"/>
      <c r="G1227" s="446"/>
      <c r="H1227" s="9"/>
      <c r="I1227" s="27"/>
      <c r="J1227" s="9"/>
      <c r="K1227" s="295"/>
    </row>
    <row r="1228" spans="1:11" x14ac:dyDescent="0.2">
      <c r="A1228" s="42"/>
      <c r="B1228" s="42"/>
      <c r="C1228" s="42"/>
      <c r="D1228" s="443" t="s">
        <v>1143</v>
      </c>
      <c r="E1228" s="443"/>
      <c r="F1228" s="443"/>
      <c r="G1228" s="443"/>
      <c r="H1228" s="42"/>
      <c r="I1228" s="42"/>
      <c r="J1228" s="42"/>
      <c r="K1228" s="295"/>
    </row>
    <row r="1229" spans="1:11" x14ac:dyDescent="0.2">
      <c r="A1229" s="443" t="s">
        <v>948</v>
      </c>
      <c r="B1229" s="443"/>
      <c r="C1229" s="443"/>
      <c r="D1229" s="443"/>
      <c r="E1229" s="443"/>
      <c r="F1229" s="443"/>
      <c r="G1229" s="443"/>
      <c r="H1229" s="443"/>
      <c r="I1229" s="443"/>
      <c r="J1229" s="443"/>
      <c r="K1229" s="295"/>
    </row>
    <row r="1230" spans="1:11" x14ac:dyDescent="0.2">
      <c r="A1230" s="9"/>
      <c r="B1230" s="9"/>
      <c r="C1230" s="9"/>
      <c r="D1230" s="9"/>
      <c r="E1230" s="9"/>
      <c r="F1230" s="9"/>
      <c r="G1230" s="9"/>
      <c r="H1230" s="9"/>
      <c r="I1230" s="9"/>
      <c r="J1230" s="9"/>
      <c r="K1230" s="295"/>
    </row>
    <row r="1231" spans="1:11" ht="13.15" customHeight="1" x14ac:dyDescent="0.2">
      <c r="A1231" s="49" t="s">
        <v>939</v>
      </c>
      <c r="B1231" s="49"/>
      <c r="C1231" s="72" t="s">
        <v>940</v>
      </c>
      <c r="D1231" s="72"/>
      <c r="E1231" s="72"/>
      <c r="F1231" s="72"/>
      <c r="G1231" s="72"/>
      <c r="H1231" s="72"/>
      <c r="I1231" s="72"/>
      <c r="J1231" s="54"/>
      <c r="K1231" s="295"/>
    </row>
    <row r="1232" spans="1:11" x14ac:dyDescent="0.2">
      <c r="A1232" s="36" t="s">
        <v>949</v>
      </c>
      <c r="B1232" s="9"/>
      <c r="C1232" s="454"/>
      <c r="D1232" s="455"/>
      <c r="E1232" s="455"/>
      <c r="F1232" s="455"/>
      <c r="G1232" s="455"/>
      <c r="H1232" s="455"/>
      <c r="I1232" s="456"/>
      <c r="J1232"/>
      <c r="K1232" s="295"/>
    </row>
    <row r="1233" spans="1:11" x14ac:dyDescent="0.2">
      <c r="A1233" s="9"/>
      <c r="B1233" s="9"/>
      <c r="C1233" s="457"/>
      <c r="D1233" s="458"/>
      <c r="E1233" s="458"/>
      <c r="F1233" s="458"/>
      <c r="G1233" s="458"/>
      <c r="H1233" s="458"/>
      <c r="I1233" s="459"/>
      <c r="J1233"/>
      <c r="K1233" s="295"/>
    </row>
    <row r="1234" spans="1:11" x14ac:dyDescent="0.2">
      <c r="A1234" s="9"/>
      <c r="B1234" s="9"/>
      <c r="C1234" s="457"/>
      <c r="D1234" s="458"/>
      <c r="E1234" s="458"/>
      <c r="F1234" s="458"/>
      <c r="G1234" s="458"/>
      <c r="H1234" s="458"/>
      <c r="I1234" s="459"/>
      <c r="J1234"/>
      <c r="K1234" s="295"/>
    </row>
    <row r="1235" spans="1:11" x14ac:dyDescent="0.2">
      <c r="A1235" s="9"/>
      <c r="B1235" s="9"/>
      <c r="C1235" s="457"/>
      <c r="D1235" s="458"/>
      <c r="E1235" s="458"/>
      <c r="F1235" s="458"/>
      <c r="G1235" s="458"/>
      <c r="H1235" s="458"/>
      <c r="I1235" s="459"/>
      <c r="J1235"/>
      <c r="K1235" s="295"/>
    </row>
    <row r="1236" spans="1:11" ht="13.15" customHeight="1" x14ac:dyDescent="0.2">
      <c r="A1236" s="9"/>
      <c r="B1236" s="9"/>
      <c r="C1236" s="460"/>
      <c r="D1236" s="461"/>
      <c r="E1236" s="461"/>
      <c r="F1236" s="461"/>
      <c r="G1236" s="461"/>
      <c r="H1236" s="461"/>
      <c r="I1236" s="462"/>
      <c r="J1236"/>
      <c r="K1236" s="295"/>
    </row>
    <row r="1237" spans="1:11" x14ac:dyDescent="0.2">
      <c r="A1237" s="36" t="s">
        <v>792</v>
      </c>
      <c r="B1237" s="9"/>
      <c r="C1237" s="454"/>
      <c r="D1237" s="455"/>
      <c r="E1237" s="455"/>
      <c r="F1237" s="455"/>
      <c r="G1237" s="455"/>
      <c r="H1237" s="455"/>
      <c r="I1237" s="456"/>
      <c r="J1237"/>
      <c r="K1237" s="295"/>
    </row>
    <row r="1238" spans="1:11" x14ac:dyDescent="0.2">
      <c r="A1238" s="36"/>
      <c r="B1238" s="9"/>
      <c r="C1238" s="457"/>
      <c r="D1238" s="458"/>
      <c r="E1238" s="458"/>
      <c r="F1238" s="458"/>
      <c r="G1238" s="458"/>
      <c r="H1238" s="458"/>
      <c r="I1238" s="459"/>
      <c r="J1238"/>
      <c r="K1238" s="295"/>
    </row>
    <row r="1239" spans="1:11" x14ac:dyDescent="0.2">
      <c r="A1239" s="9"/>
      <c r="B1239" s="9"/>
      <c r="C1239" s="457"/>
      <c r="D1239" s="458"/>
      <c r="E1239" s="458"/>
      <c r="F1239" s="458"/>
      <c r="G1239" s="458"/>
      <c r="H1239" s="458"/>
      <c r="I1239" s="459"/>
      <c r="J1239"/>
      <c r="K1239" s="295"/>
    </row>
    <row r="1240" spans="1:11" x14ac:dyDescent="0.2">
      <c r="A1240" s="9"/>
      <c r="B1240" s="9"/>
      <c r="C1240" s="457"/>
      <c r="D1240" s="458"/>
      <c r="E1240" s="458"/>
      <c r="F1240" s="458"/>
      <c r="G1240" s="458"/>
      <c r="H1240" s="458"/>
      <c r="I1240" s="459"/>
      <c r="J1240"/>
      <c r="K1240" s="295"/>
    </row>
    <row r="1241" spans="1:11" ht="13.15" customHeight="1" x14ac:dyDescent="0.2">
      <c r="A1241" s="9"/>
      <c r="B1241" s="9"/>
      <c r="C1241" s="460"/>
      <c r="D1241" s="461"/>
      <c r="E1241" s="461"/>
      <c r="F1241" s="461"/>
      <c r="G1241" s="461"/>
      <c r="H1241" s="461"/>
      <c r="I1241" s="462"/>
      <c r="J1241"/>
      <c r="K1241" s="295"/>
    </row>
    <row r="1242" spans="1:11" x14ac:dyDescent="0.2">
      <c r="A1242" s="36" t="s">
        <v>952</v>
      </c>
      <c r="B1242" s="9"/>
      <c r="C1242" s="454"/>
      <c r="D1242" s="455"/>
      <c r="E1242" s="455"/>
      <c r="F1242" s="455"/>
      <c r="G1242" s="455"/>
      <c r="H1242" s="455"/>
      <c r="I1242" s="456"/>
      <c r="J1242"/>
      <c r="K1242" s="295"/>
    </row>
    <row r="1243" spans="1:11" x14ac:dyDescent="0.2">
      <c r="A1243" s="9"/>
      <c r="B1243" s="9"/>
      <c r="C1243" s="457"/>
      <c r="D1243" s="458"/>
      <c r="E1243" s="458"/>
      <c r="F1243" s="458"/>
      <c r="G1243" s="458"/>
      <c r="H1243" s="458"/>
      <c r="I1243" s="459"/>
      <c r="J1243"/>
      <c r="K1243" s="295"/>
    </row>
    <row r="1244" spans="1:11" x14ac:dyDescent="0.2">
      <c r="A1244" s="9"/>
      <c r="B1244" s="9"/>
      <c r="C1244" s="457"/>
      <c r="D1244" s="458"/>
      <c r="E1244" s="458"/>
      <c r="F1244" s="458"/>
      <c r="G1244" s="458"/>
      <c r="H1244" s="458"/>
      <c r="I1244" s="459"/>
      <c r="J1244"/>
      <c r="K1244" s="295"/>
    </row>
    <row r="1245" spans="1:11" x14ac:dyDescent="0.2">
      <c r="A1245" s="9"/>
      <c r="B1245" s="9"/>
      <c r="C1245" s="457"/>
      <c r="D1245" s="458"/>
      <c r="E1245" s="458"/>
      <c r="F1245" s="458"/>
      <c r="G1245" s="458"/>
      <c r="H1245" s="458"/>
      <c r="I1245" s="459"/>
      <c r="J1245"/>
      <c r="K1245" s="295"/>
    </row>
    <row r="1246" spans="1:11" ht="13.15" customHeight="1" x14ac:dyDescent="0.2">
      <c r="A1246" s="9"/>
      <c r="B1246" s="9"/>
      <c r="C1246" s="460"/>
      <c r="D1246" s="461"/>
      <c r="E1246" s="461"/>
      <c r="F1246" s="461"/>
      <c r="G1246" s="461"/>
      <c r="H1246" s="461"/>
      <c r="I1246" s="462"/>
      <c r="J1246"/>
      <c r="K1246" s="295"/>
    </row>
    <row r="1247" spans="1:11" x14ac:dyDescent="0.2">
      <c r="A1247" s="36" t="s">
        <v>45</v>
      </c>
      <c r="B1247" s="9"/>
      <c r="C1247" s="454"/>
      <c r="D1247" s="455"/>
      <c r="E1247" s="455"/>
      <c r="F1247" s="455"/>
      <c r="G1247" s="455"/>
      <c r="H1247" s="455"/>
      <c r="I1247" s="456"/>
      <c r="J1247"/>
      <c r="K1247" s="295"/>
    </row>
    <row r="1248" spans="1:11" x14ac:dyDescent="0.2">
      <c r="A1248" s="9"/>
      <c r="B1248" s="9"/>
      <c r="C1248" s="457"/>
      <c r="D1248" s="458"/>
      <c r="E1248" s="458"/>
      <c r="F1248" s="458"/>
      <c r="G1248" s="458"/>
      <c r="H1248" s="458"/>
      <c r="I1248" s="459"/>
      <c r="J1248"/>
      <c r="K1248" s="295"/>
    </row>
    <row r="1249" spans="1:11" x14ac:dyDescent="0.2">
      <c r="A1249" s="9"/>
      <c r="B1249" s="9"/>
      <c r="C1249" s="457"/>
      <c r="D1249" s="458"/>
      <c r="E1249" s="458"/>
      <c r="F1249" s="458"/>
      <c r="G1249" s="458"/>
      <c r="H1249" s="458"/>
      <c r="I1249" s="459"/>
      <c r="J1249"/>
      <c r="K1249" s="295"/>
    </row>
    <row r="1250" spans="1:11" x14ac:dyDescent="0.2">
      <c r="A1250" s="9"/>
      <c r="B1250" s="9"/>
      <c r="C1250" s="457"/>
      <c r="D1250" s="458"/>
      <c r="E1250" s="458"/>
      <c r="F1250" s="458"/>
      <c r="G1250" s="458"/>
      <c r="H1250" s="458"/>
      <c r="I1250" s="459"/>
      <c r="J1250"/>
      <c r="K1250" s="295"/>
    </row>
    <row r="1251" spans="1:11" ht="13.15" customHeight="1" x14ac:dyDescent="0.2">
      <c r="A1251" s="9"/>
      <c r="B1251" s="9"/>
      <c r="C1251" s="460"/>
      <c r="D1251" s="461"/>
      <c r="E1251" s="461"/>
      <c r="F1251" s="461"/>
      <c r="G1251" s="461"/>
      <c r="H1251" s="461"/>
      <c r="I1251" s="462"/>
      <c r="J1251"/>
      <c r="K1251" s="295"/>
    </row>
    <row r="1252" spans="1:11" x14ac:dyDescent="0.2">
      <c r="A1252" s="36" t="s">
        <v>20</v>
      </c>
      <c r="B1252" s="9"/>
      <c r="C1252" s="454"/>
      <c r="D1252" s="455"/>
      <c r="E1252" s="455"/>
      <c r="F1252" s="455"/>
      <c r="G1252" s="455"/>
      <c r="H1252" s="455"/>
      <c r="I1252" s="456"/>
      <c r="J1252"/>
      <c r="K1252" s="295"/>
    </row>
    <row r="1253" spans="1:11" x14ac:dyDescent="0.2">
      <c r="A1253" s="36" t="s">
        <v>21</v>
      </c>
      <c r="B1253" s="9"/>
      <c r="C1253" s="457"/>
      <c r="D1253" s="458"/>
      <c r="E1253" s="458"/>
      <c r="F1253" s="458"/>
      <c r="G1253" s="458"/>
      <c r="H1253" s="458"/>
      <c r="I1253" s="459"/>
      <c r="J1253"/>
      <c r="K1253" s="295"/>
    </row>
    <row r="1254" spans="1:11" x14ac:dyDescent="0.2">
      <c r="A1254" s="9"/>
      <c r="B1254" s="9"/>
      <c r="C1254" s="457"/>
      <c r="D1254" s="458"/>
      <c r="E1254" s="458"/>
      <c r="F1254" s="458"/>
      <c r="G1254" s="458"/>
      <c r="H1254" s="458"/>
      <c r="I1254" s="459"/>
      <c r="J1254"/>
      <c r="K1254" s="295"/>
    </row>
    <row r="1255" spans="1:11" x14ac:dyDescent="0.2">
      <c r="A1255" s="9"/>
      <c r="B1255" s="9"/>
      <c r="C1255" s="457"/>
      <c r="D1255" s="458"/>
      <c r="E1255" s="458"/>
      <c r="F1255" s="458"/>
      <c r="G1255" s="458"/>
      <c r="H1255" s="458"/>
      <c r="I1255" s="459"/>
      <c r="J1255"/>
      <c r="K1255" s="295"/>
    </row>
    <row r="1256" spans="1:11" ht="13.15" customHeight="1" x14ac:dyDescent="0.2">
      <c r="A1256" s="9"/>
      <c r="B1256" s="9"/>
      <c r="C1256" s="460"/>
      <c r="D1256" s="461"/>
      <c r="E1256" s="461"/>
      <c r="F1256" s="461"/>
      <c r="G1256" s="461"/>
      <c r="H1256" s="461"/>
      <c r="I1256" s="462"/>
      <c r="J1256"/>
      <c r="K1256" s="295"/>
    </row>
    <row r="1257" spans="1:11" x14ac:dyDescent="0.2">
      <c r="A1257" s="36" t="s">
        <v>22</v>
      </c>
      <c r="B1257" s="9"/>
      <c r="C1257" s="454"/>
      <c r="D1257" s="455"/>
      <c r="E1257" s="455"/>
      <c r="F1257" s="455"/>
      <c r="G1257" s="455"/>
      <c r="H1257" s="455"/>
      <c r="I1257" s="456"/>
      <c r="J1257"/>
      <c r="K1257" s="295"/>
    </row>
    <row r="1258" spans="1:11" x14ac:dyDescent="0.2">
      <c r="A1258" s="36" t="s">
        <v>791</v>
      </c>
      <c r="B1258" s="9"/>
      <c r="C1258" s="457"/>
      <c r="D1258" s="458"/>
      <c r="E1258" s="458"/>
      <c r="F1258" s="458"/>
      <c r="G1258" s="458"/>
      <c r="H1258" s="458"/>
      <c r="I1258" s="459"/>
      <c r="J1258"/>
      <c r="K1258" s="295"/>
    </row>
    <row r="1259" spans="1:11" x14ac:dyDescent="0.2">
      <c r="A1259" s="9"/>
      <c r="B1259" s="9"/>
      <c r="C1259" s="457"/>
      <c r="D1259" s="458"/>
      <c r="E1259" s="458"/>
      <c r="F1259" s="458"/>
      <c r="G1259" s="458"/>
      <c r="H1259" s="458"/>
      <c r="I1259" s="459"/>
      <c r="J1259"/>
      <c r="K1259" s="295"/>
    </row>
    <row r="1260" spans="1:11" x14ac:dyDescent="0.2">
      <c r="A1260" s="9"/>
      <c r="B1260" s="9"/>
      <c r="C1260" s="457"/>
      <c r="D1260" s="458"/>
      <c r="E1260" s="458"/>
      <c r="F1260" s="458"/>
      <c r="G1260" s="458"/>
      <c r="H1260" s="458"/>
      <c r="I1260" s="459"/>
      <c r="J1260"/>
      <c r="K1260" s="295"/>
    </row>
    <row r="1261" spans="1:11" ht="13.15" customHeight="1" x14ac:dyDescent="0.2">
      <c r="A1261" s="9"/>
      <c r="B1261" s="9"/>
      <c r="C1261" s="460"/>
      <c r="D1261" s="461"/>
      <c r="E1261" s="461"/>
      <c r="F1261" s="461"/>
      <c r="G1261" s="461"/>
      <c r="H1261" s="461"/>
      <c r="I1261" s="462"/>
      <c r="J1261"/>
      <c r="K1261" s="295"/>
    </row>
    <row r="1262" spans="1:11" x14ac:dyDescent="0.2">
      <c r="A1262" s="36" t="s">
        <v>23</v>
      </c>
      <c r="B1262" s="9"/>
      <c r="C1262" s="454"/>
      <c r="D1262" s="455"/>
      <c r="E1262" s="455"/>
      <c r="F1262" s="455"/>
      <c r="G1262" s="455"/>
      <c r="H1262" s="455"/>
      <c r="I1262" s="456"/>
      <c r="J1262"/>
      <c r="K1262" s="295"/>
    </row>
    <row r="1263" spans="1:11" x14ac:dyDescent="0.2">
      <c r="A1263" s="36" t="s">
        <v>24</v>
      </c>
      <c r="B1263" s="9"/>
      <c r="C1263" s="457"/>
      <c r="D1263" s="458"/>
      <c r="E1263" s="458"/>
      <c r="F1263" s="458"/>
      <c r="G1263" s="458"/>
      <c r="H1263" s="458"/>
      <c r="I1263" s="459"/>
      <c r="J1263"/>
      <c r="K1263" s="295"/>
    </row>
    <row r="1264" spans="1:11" x14ac:dyDescent="0.2">
      <c r="A1264" s="9"/>
      <c r="B1264" s="9"/>
      <c r="C1264" s="457"/>
      <c r="D1264" s="458"/>
      <c r="E1264" s="458"/>
      <c r="F1264" s="458"/>
      <c r="G1264" s="458"/>
      <c r="H1264" s="458"/>
      <c r="I1264" s="459"/>
      <c r="J1264"/>
      <c r="K1264" s="295"/>
    </row>
    <row r="1265" spans="1:11" x14ac:dyDescent="0.2">
      <c r="A1265" s="9"/>
      <c r="B1265" s="9"/>
      <c r="C1265" s="457"/>
      <c r="D1265" s="458"/>
      <c r="E1265" s="458"/>
      <c r="F1265" s="458"/>
      <c r="G1265" s="458"/>
      <c r="H1265" s="458"/>
      <c r="I1265" s="459"/>
      <c r="J1265"/>
      <c r="K1265" s="295"/>
    </row>
    <row r="1266" spans="1:11" ht="13.15" customHeight="1" x14ac:dyDescent="0.2">
      <c r="A1266" s="9"/>
      <c r="B1266" s="9"/>
      <c r="C1266" s="460"/>
      <c r="D1266" s="461"/>
      <c r="E1266" s="461"/>
      <c r="F1266" s="461"/>
      <c r="G1266" s="461"/>
      <c r="H1266" s="461"/>
      <c r="I1266" s="462"/>
      <c r="J1266"/>
      <c r="K1266" s="295"/>
    </row>
    <row r="1267" spans="1:11" x14ac:dyDescent="0.2">
      <c r="A1267" s="36" t="s">
        <v>440</v>
      </c>
      <c r="B1267" s="9"/>
      <c r="C1267" s="454"/>
      <c r="D1267" s="455"/>
      <c r="E1267" s="455"/>
      <c r="F1267" s="455"/>
      <c r="G1267" s="455"/>
      <c r="H1267" s="455"/>
      <c r="I1267" s="456"/>
      <c r="J1267"/>
      <c r="K1267" s="295"/>
    </row>
    <row r="1268" spans="1:11" x14ac:dyDescent="0.2">
      <c r="A1268" s="437"/>
      <c r="B1268" s="654"/>
      <c r="C1268" s="457"/>
      <c r="D1268" s="458"/>
      <c r="E1268" s="458"/>
      <c r="F1268" s="458"/>
      <c r="G1268" s="458"/>
      <c r="H1268" s="458"/>
      <c r="I1268" s="459"/>
      <c r="J1268"/>
      <c r="K1268" s="295"/>
    </row>
    <row r="1269" spans="1:11" x14ac:dyDescent="0.2">
      <c r="A1269" s="452"/>
      <c r="B1269" s="613"/>
      <c r="C1269" s="457"/>
      <c r="D1269" s="458"/>
      <c r="E1269" s="458"/>
      <c r="F1269" s="458"/>
      <c r="G1269" s="458"/>
      <c r="H1269" s="458"/>
      <c r="I1269" s="459"/>
      <c r="J1269"/>
      <c r="K1269" s="295"/>
    </row>
    <row r="1270" spans="1:11" ht="13.15" customHeight="1" x14ac:dyDescent="0.2">
      <c r="A1270" s="9"/>
      <c r="B1270" s="9"/>
      <c r="C1270" s="460"/>
      <c r="D1270" s="461"/>
      <c r="E1270" s="461"/>
      <c r="F1270" s="461"/>
      <c r="G1270" s="461"/>
      <c r="H1270" s="461"/>
      <c r="I1270" s="462"/>
      <c r="J1270"/>
      <c r="K1270" s="295"/>
    </row>
    <row r="1271" spans="1:11" x14ac:dyDescent="0.2">
      <c r="A1271" s="36" t="s">
        <v>440</v>
      </c>
      <c r="B1271" s="9"/>
      <c r="C1271" s="454"/>
      <c r="D1271" s="455"/>
      <c r="E1271" s="455"/>
      <c r="F1271" s="455"/>
      <c r="G1271" s="455"/>
      <c r="H1271" s="455"/>
      <c r="I1271" s="456"/>
      <c r="J1271"/>
      <c r="K1271" s="295"/>
    </row>
    <row r="1272" spans="1:11" x14ac:dyDescent="0.2">
      <c r="A1272" s="437"/>
      <c r="B1272" s="654"/>
      <c r="C1272" s="457"/>
      <c r="D1272" s="458"/>
      <c r="E1272" s="458"/>
      <c r="F1272" s="458"/>
      <c r="G1272" s="458"/>
      <c r="H1272" s="458"/>
      <c r="I1272" s="459"/>
      <c r="J1272"/>
      <c r="K1272" s="295"/>
    </row>
    <row r="1273" spans="1:11" x14ac:dyDescent="0.2">
      <c r="A1273" s="452"/>
      <c r="B1273" s="613"/>
      <c r="C1273" s="457"/>
      <c r="D1273" s="458"/>
      <c r="E1273" s="458"/>
      <c r="F1273" s="458"/>
      <c r="G1273" s="458"/>
      <c r="H1273" s="458"/>
      <c r="I1273" s="459"/>
      <c r="J1273"/>
      <c r="K1273" s="295"/>
    </row>
    <row r="1274" spans="1:11" x14ac:dyDescent="0.2">
      <c r="A1274" s="9"/>
      <c r="B1274" s="9"/>
      <c r="C1274" s="460"/>
      <c r="D1274" s="461"/>
      <c r="E1274" s="461"/>
      <c r="F1274" s="461"/>
      <c r="G1274" s="461"/>
      <c r="H1274" s="461"/>
      <c r="I1274" s="462"/>
      <c r="J1274"/>
      <c r="K1274" s="295"/>
    </row>
    <row r="1275" spans="1:11" x14ac:dyDescent="0.2">
      <c r="A1275" s="9"/>
      <c r="B1275" s="9"/>
      <c r="C1275" s="67"/>
      <c r="D1275" s="67"/>
      <c r="E1275" s="67"/>
      <c r="F1275" s="67"/>
      <c r="G1275" s="67"/>
      <c r="H1275" s="67"/>
      <c r="I1275" s="67"/>
      <c r="J1275" s="9"/>
      <c r="K1275" s="295"/>
    </row>
    <row r="1276" spans="1:11" x14ac:dyDescent="0.2">
      <c r="A1276" s="9"/>
      <c r="B1276" s="9"/>
      <c r="C1276" s="9"/>
      <c r="D1276" s="9"/>
      <c r="E1276" s="9"/>
      <c r="F1276" s="9"/>
      <c r="G1276" s="9"/>
      <c r="H1276" s="9"/>
      <c r="I1276" s="9"/>
      <c r="J1276" s="9"/>
      <c r="K1276" s="295"/>
    </row>
    <row r="1277" spans="1:11" x14ac:dyDescent="0.2">
      <c r="A1277" s="441" t="s">
        <v>1060</v>
      </c>
      <c r="B1277" s="441"/>
      <c r="C1277" s="441"/>
      <c r="D1277" s="441"/>
      <c r="E1277" s="441"/>
      <c r="F1277" s="441"/>
      <c r="G1277" s="441"/>
      <c r="H1277" s="441"/>
      <c r="I1277" s="441"/>
      <c r="J1277" s="441"/>
      <c r="K1277" s="295"/>
    </row>
    <row r="1278" spans="1:11" x14ac:dyDescent="0.2">
      <c r="A1278" s="441" t="s">
        <v>1061</v>
      </c>
      <c r="B1278" s="441"/>
      <c r="C1278" s="441"/>
      <c r="D1278" s="441"/>
      <c r="E1278" s="441"/>
      <c r="F1278" s="441"/>
      <c r="G1278" s="441"/>
      <c r="H1278" s="441"/>
      <c r="I1278" s="441"/>
      <c r="J1278" s="441"/>
      <c r="K1278" s="295"/>
    </row>
    <row r="1279" spans="1:11" x14ac:dyDescent="0.2">
      <c r="A1279" s="441" t="s">
        <v>88</v>
      </c>
      <c r="B1279" s="441"/>
      <c r="C1279" s="441"/>
      <c r="D1279" s="441"/>
      <c r="E1279" s="441"/>
      <c r="F1279" s="441"/>
      <c r="G1279" s="441"/>
      <c r="H1279" s="441"/>
      <c r="I1279" s="441"/>
      <c r="J1279" s="441"/>
      <c r="K1279" s="295"/>
    </row>
    <row r="1280" spans="1:11" x14ac:dyDescent="0.2">
      <c r="A1280" s="26"/>
      <c r="B1280" s="9"/>
      <c r="C1280" s="9"/>
      <c r="D1280" s="446" t="str">
        <f>IF($B$229="","",$B$229)</f>
        <v/>
      </c>
      <c r="E1280" s="446"/>
      <c r="F1280" s="446"/>
      <c r="G1280" s="446"/>
      <c r="H1280" s="9"/>
      <c r="I1280" s="27"/>
      <c r="J1280" s="9"/>
      <c r="K1280" s="295"/>
    </row>
    <row r="1281" spans="1:11" x14ac:dyDescent="0.2">
      <c r="A1281" s="42"/>
      <c r="B1281" s="42"/>
      <c r="C1281" s="42"/>
      <c r="D1281" s="443" t="s">
        <v>1143</v>
      </c>
      <c r="E1281" s="443"/>
      <c r="F1281" s="443"/>
      <c r="G1281" s="443"/>
      <c r="H1281" s="42"/>
      <c r="I1281" s="42"/>
      <c r="J1281" s="42"/>
      <c r="K1281" s="295"/>
    </row>
    <row r="1282" spans="1:11" x14ac:dyDescent="0.2">
      <c r="A1282" s="443" t="s">
        <v>793</v>
      </c>
      <c r="B1282" s="443"/>
      <c r="C1282" s="443"/>
      <c r="D1282" s="443"/>
      <c r="E1282" s="443"/>
      <c r="F1282" s="443"/>
      <c r="G1282" s="443"/>
      <c r="H1282" s="443"/>
      <c r="I1282" s="443"/>
      <c r="J1282" s="443"/>
      <c r="K1282" s="295"/>
    </row>
    <row r="1283" spans="1:11" x14ac:dyDescent="0.2">
      <c r="A1283" s="9"/>
      <c r="B1283" s="9"/>
      <c r="C1283" s="9"/>
      <c r="D1283" s="9"/>
      <c r="E1283" s="9"/>
      <c r="F1283" s="9"/>
      <c r="G1283" s="9"/>
      <c r="H1283" s="9"/>
      <c r="I1283" s="9"/>
      <c r="J1283" s="9"/>
      <c r="K1283" s="295"/>
    </row>
    <row r="1284" spans="1:11" x14ac:dyDescent="0.2">
      <c r="A1284" s="49" t="s">
        <v>975</v>
      </c>
      <c r="B1284" s="49"/>
      <c r="C1284" s="49"/>
      <c r="D1284" s="49"/>
      <c r="E1284" s="49"/>
      <c r="F1284" s="9"/>
      <c r="G1284" s="476" t="s">
        <v>976</v>
      </c>
      <c r="H1284" s="476"/>
      <c r="I1284" s="9"/>
      <c r="J1284" s="9"/>
      <c r="K1284" s="295"/>
    </row>
    <row r="1285" spans="1:11" ht="13.15" customHeight="1" x14ac:dyDescent="0.2">
      <c r="A1285" s="49"/>
      <c r="B1285" s="49"/>
      <c r="C1285" s="49"/>
      <c r="D1285" s="49"/>
      <c r="E1285" s="49"/>
      <c r="F1285" s="9"/>
      <c r="G1285" s="450" t="s">
        <v>977</v>
      </c>
      <c r="H1285" s="476"/>
      <c r="I1285" s="9"/>
      <c r="J1285" s="9"/>
      <c r="K1285" s="295"/>
    </row>
    <row r="1286" spans="1:11" x14ac:dyDescent="0.2">
      <c r="A1286" s="34" t="s">
        <v>953</v>
      </c>
      <c r="B1286" s="9" t="s">
        <v>157</v>
      </c>
      <c r="C1286" s="9"/>
      <c r="D1286" s="9"/>
      <c r="E1286" s="9"/>
      <c r="F1286" s="9"/>
      <c r="G1286" s="9"/>
      <c r="H1286" s="9"/>
      <c r="I1286" s="9"/>
      <c r="J1286" s="9"/>
      <c r="K1286" s="295"/>
    </row>
    <row r="1287" spans="1:11" x14ac:dyDescent="0.2">
      <c r="A1287" s="9"/>
      <c r="B1287" s="9"/>
      <c r="C1287" s="9" t="s">
        <v>954</v>
      </c>
      <c r="D1287" s="9"/>
      <c r="E1287" s="9"/>
      <c r="F1287" s="9"/>
      <c r="G1287" s="488"/>
      <c r="H1287" s="489"/>
      <c r="I1287" s="9"/>
      <c r="J1287" s="9"/>
      <c r="K1287" s="295"/>
    </row>
    <row r="1288" spans="1:11" x14ac:dyDescent="0.2">
      <c r="A1288" s="9"/>
      <c r="B1288" s="9"/>
      <c r="C1288" s="9" t="s">
        <v>955</v>
      </c>
      <c r="D1288" s="9"/>
      <c r="E1288" s="9"/>
      <c r="F1288" s="9"/>
      <c r="G1288" s="488"/>
      <c r="H1288" s="489"/>
      <c r="I1288" s="9"/>
      <c r="J1288" s="9"/>
      <c r="K1288" s="295"/>
    </row>
    <row r="1289" spans="1:11" x14ac:dyDescent="0.2">
      <c r="A1289" s="9"/>
      <c r="B1289" s="9"/>
      <c r="C1289" s="9" t="s">
        <v>956</v>
      </c>
      <c r="D1289" s="9"/>
      <c r="E1289" s="9"/>
      <c r="F1289" s="9"/>
      <c r="G1289" s="488"/>
      <c r="H1289" s="489"/>
      <c r="I1289" s="9"/>
      <c r="J1289" s="9"/>
      <c r="K1289" s="295"/>
    </row>
    <row r="1290" spans="1:11" x14ac:dyDescent="0.2">
      <c r="A1290" s="9"/>
      <c r="B1290" s="9"/>
      <c r="C1290" s="9" t="s">
        <v>957</v>
      </c>
      <c r="D1290" s="9"/>
      <c r="E1290" s="9"/>
      <c r="F1290" s="9"/>
      <c r="G1290" s="488"/>
      <c r="H1290" s="489"/>
      <c r="I1290" s="9"/>
      <c r="J1290" s="9"/>
      <c r="K1290" s="295"/>
    </row>
    <row r="1291" spans="1:11" x14ac:dyDescent="0.2">
      <c r="A1291" s="9"/>
      <c r="B1291" s="9"/>
      <c r="C1291" s="9"/>
      <c r="D1291" s="9"/>
      <c r="E1291" s="9"/>
      <c r="F1291" s="9"/>
      <c r="G1291" s="9"/>
      <c r="H1291" s="9"/>
      <c r="I1291" s="9"/>
      <c r="J1291" s="9"/>
      <c r="K1291" s="295"/>
    </row>
    <row r="1292" spans="1:11" x14ac:dyDescent="0.2">
      <c r="A1292" s="34" t="s">
        <v>958</v>
      </c>
      <c r="B1292" s="9" t="s">
        <v>978</v>
      </c>
      <c r="C1292" s="9"/>
      <c r="D1292" s="9"/>
      <c r="E1292" s="9"/>
      <c r="F1292" s="9"/>
      <c r="G1292" s="9"/>
      <c r="H1292" s="9"/>
      <c r="I1292" s="9"/>
      <c r="J1292" s="9"/>
      <c r="K1292" s="295"/>
    </row>
    <row r="1293" spans="1:11" x14ac:dyDescent="0.2">
      <c r="A1293" s="9"/>
      <c r="B1293" s="9"/>
      <c r="C1293" s="9" t="s">
        <v>959</v>
      </c>
      <c r="D1293" s="9"/>
      <c r="E1293" s="9"/>
      <c r="F1293" s="9"/>
      <c r="G1293" s="488"/>
      <c r="H1293" s="489"/>
      <c r="I1293" s="9"/>
      <c r="J1293" s="9"/>
      <c r="K1293" s="295"/>
    </row>
    <row r="1294" spans="1:11" x14ac:dyDescent="0.2">
      <c r="A1294" s="9"/>
      <c r="B1294" s="9"/>
      <c r="C1294" s="9" t="s">
        <v>960</v>
      </c>
      <c r="D1294" s="9"/>
      <c r="E1294" s="9"/>
      <c r="F1294" s="9"/>
      <c r="G1294" s="488"/>
      <c r="H1294" s="489"/>
      <c r="I1294" s="9"/>
      <c r="J1294" s="9"/>
      <c r="K1294" s="295"/>
    </row>
    <row r="1295" spans="1:11" x14ac:dyDescent="0.2">
      <c r="A1295" s="9"/>
      <c r="B1295" s="9"/>
      <c r="C1295" s="9" t="s">
        <v>961</v>
      </c>
      <c r="D1295" s="9"/>
      <c r="E1295" s="9"/>
      <c r="F1295" s="9"/>
      <c r="G1295" s="488"/>
      <c r="H1295" s="489"/>
      <c r="I1295" s="9"/>
      <c r="J1295" s="9"/>
      <c r="K1295" s="295"/>
    </row>
    <row r="1296" spans="1:11" x14ac:dyDescent="0.2">
      <c r="A1296" s="9"/>
      <c r="B1296" s="9"/>
      <c r="C1296" s="9"/>
      <c r="D1296" s="9"/>
      <c r="E1296" s="9"/>
      <c r="F1296" s="9"/>
      <c r="G1296" s="9"/>
      <c r="H1296" s="9"/>
      <c r="I1296" s="9"/>
      <c r="J1296" s="9"/>
      <c r="K1296" s="295"/>
    </row>
    <row r="1297" spans="1:11" x14ac:dyDescent="0.2">
      <c r="A1297" s="9"/>
      <c r="B1297" s="9" t="s">
        <v>979</v>
      </c>
      <c r="C1297" s="9"/>
      <c r="D1297" s="9"/>
      <c r="E1297" s="9"/>
      <c r="F1297" s="9"/>
      <c r="G1297" s="9"/>
      <c r="H1297" s="9"/>
      <c r="I1297" s="9"/>
      <c r="J1297" s="9"/>
      <c r="K1297" s="295"/>
    </row>
    <row r="1298" spans="1:11" x14ac:dyDescent="0.2">
      <c r="A1298" s="9"/>
      <c r="B1298" s="9"/>
      <c r="C1298" s="9" t="s">
        <v>959</v>
      </c>
      <c r="D1298" s="9"/>
      <c r="E1298" s="9"/>
      <c r="F1298" s="9"/>
      <c r="G1298" s="488"/>
      <c r="H1298" s="489"/>
      <c r="I1298" s="9"/>
      <c r="J1298" s="9"/>
      <c r="K1298" s="295"/>
    </row>
    <row r="1299" spans="1:11" x14ac:dyDescent="0.2">
      <c r="A1299" s="9"/>
      <c r="B1299" s="9"/>
      <c r="C1299" s="9" t="s">
        <v>960</v>
      </c>
      <c r="D1299" s="9"/>
      <c r="E1299" s="9"/>
      <c r="F1299" s="9"/>
      <c r="G1299" s="488"/>
      <c r="H1299" s="489"/>
      <c r="I1299" s="9"/>
      <c r="J1299" s="9"/>
      <c r="K1299" s="295"/>
    </row>
    <row r="1300" spans="1:11" x14ac:dyDescent="0.2">
      <c r="A1300" s="9"/>
      <c r="B1300" s="9"/>
      <c r="C1300" s="9" t="s">
        <v>961</v>
      </c>
      <c r="D1300" s="9"/>
      <c r="E1300" s="9"/>
      <c r="F1300" s="9"/>
      <c r="G1300" s="488"/>
      <c r="H1300" s="489"/>
      <c r="I1300" s="9"/>
      <c r="J1300" s="9"/>
      <c r="K1300" s="295"/>
    </row>
    <row r="1301" spans="1:11" x14ac:dyDescent="0.2">
      <c r="A1301" s="9"/>
      <c r="B1301" s="9"/>
      <c r="C1301" s="9"/>
      <c r="D1301" s="9"/>
      <c r="E1301" s="9"/>
      <c r="F1301" s="9"/>
      <c r="G1301" s="9"/>
      <c r="H1301" s="9"/>
      <c r="I1301" s="9"/>
      <c r="J1301" s="9"/>
      <c r="K1301" s="295"/>
    </row>
    <row r="1302" spans="1:11" x14ac:dyDescent="0.2">
      <c r="A1302" s="9"/>
      <c r="B1302" s="9" t="s">
        <v>980</v>
      </c>
      <c r="C1302" s="9"/>
      <c r="D1302" s="9"/>
      <c r="E1302" s="9"/>
      <c r="F1302" s="9"/>
      <c r="G1302" s="9"/>
      <c r="H1302" s="9"/>
      <c r="I1302" s="9"/>
      <c r="J1302" s="9"/>
      <c r="K1302" s="295"/>
    </row>
    <row r="1303" spans="1:11" x14ac:dyDescent="0.2">
      <c r="A1303" s="9"/>
      <c r="B1303" s="9"/>
      <c r="C1303" s="9" t="s">
        <v>962</v>
      </c>
      <c r="D1303" s="9"/>
      <c r="E1303" s="9"/>
      <c r="F1303" s="651"/>
      <c r="G1303" s="652"/>
      <c r="H1303" s="652"/>
      <c r="I1303" s="653"/>
      <c r="J1303" s="9"/>
      <c r="K1303" s="295"/>
    </row>
    <row r="1304" spans="1:11" x14ac:dyDescent="0.2">
      <c r="A1304" s="9"/>
      <c r="B1304" s="9"/>
      <c r="C1304" s="9" t="s">
        <v>959</v>
      </c>
      <c r="D1304" s="9"/>
      <c r="E1304" s="9"/>
      <c r="F1304" s="9"/>
      <c r="G1304" s="658"/>
      <c r="H1304" s="659"/>
      <c r="I1304" s="9"/>
      <c r="J1304" s="9"/>
      <c r="K1304" s="295"/>
    </row>
    <row r="1305" spans="1:11" x14ac:dyDescent="0.2">
      <c r="A1305" s="9"/>
      <c r="B1305" s="9"/>
      <c r="C1305" s="9" t="s">
        <v>963</v>
      </c>
      <c r="D1305" s="9"/>
      <c r="E1305" s="9"/>
      <c r="F1305" s="9"/>
      <c r="G1305" s="488"/>
      <c r="H1305" s="489"/>
      <c r="I1305" s="9"/>
      <c r="J1305" s="9"/>
      <c r="K1305" s="295"/>
    </row>
    <row r="1306" spans="1:11" x14ac:dyDescent="0.2">
      <c r="A1306" s="9"/>
      <c r="B1306" s="9"/>
      <c r="C1306" s="9"/>
      <c r="D1306" s="9"/>
      <c r="E1306" s="9"/>
      <c r="F1306" s="9"/>
      <c r="G1306" s="9"/>
      <c r="H1306" s="9"/>
      <c r="I1306" s="9"/>
      <c r="J1306" s="9"/>
      <c r="K1306" s="295"/>
    </row>
    <row r="1307" spans="1:11" x14ac:dyDescent="0.2">
      <c r="A1307" s="9"/>
      <c r="B1307" s="9"/>
      <c r="C1307" s="9" t="s">
        <v>962</v>
      </c>
      <c r="D1307" s="9"/>
      <c r="E1307" s="9"/>
      <c r="F1307" s="651"/>
      <c r="G1307" s="652"/>
      <c r="H1307" s="652"/>
      <c r="I1307" s="653"/>
      <c r="J1307" s="9"/>
      <c r="K1307" s="295"/>
    </row>
    <row r="1308" spans="1:11" x14ac:dyDescent="0.2">
      <c r="A1308" s="9"/>
      <c r="B1308" s="9"/>
      <c r="C1308" s="9" t="s">
        <v>959</v>
      </c>
      <c r="D1308" s="9"/>
      <c r="E1308" s="9"/>
      <c r="F1308" s="9"/>
      <c r="G1308" s="488"/>
      <c r="H1308" s="489"/>
      <c r="I1308" s="9"/>
      <c r="J1308" s="9"/>
      <c r="K1308" s="295"/>
    </row>
    <row r="1309" spans="1:11" x14ac:dyDescent="0.2">
      <c r="A1309" s="9"/>
      <c r="B1309" s="9"/>
      <c r="C1309" s="9" t="s">
        <v>963</v>
      </c>
      <c r="D1309" s="9"/>
      <c r="E1309" s="9"/>
      <c r="F1309" s="9"/>
      <c r="G1309" s="488"/>
      <c r="H1309" s="489"/>
      <c r="I1309" s="9"/>
      <c r="J1309" s="9"/>
      <c r="K1309" s="295"/>
    </row>
    <row r="1310" spans="1:11" x14ac:dyDescent="0.2">
      <c r="A1310" s="9"/>
      <c r="B1310" s="9"/>
      <c r="C1310" s="9"/>
      <c r="D1310" s="9"/>
      <c r="E1310" s="9"/>
      <c r="F1310" s="9"/>
      <c r="G1310" s="9"/>
      <c r="H1310" s="9"/>
      <c r="I1310" s="9"/>
      <c r="J1310" s="9"/>
      <c r="K1310" s="295"/>
    </row>
    <row r="1311" spans="1:11" x14ac:dyDescent="0.2">
      <c r="A1311" s="9"/>
      <c r="B1311" s="9"/>
      <c r="C1311" s="9" t="s">
        <v>962</v>
      </c>
      <c r="D1311" s="9"/>
      <c r="E1311" s="9"/>
      <c r="F1311" s="651"/>
      <c r="G1311" s="652"/>
      <c r="H1311" s="652"/>
      <c r="I1311" s="653"/>
      <c r="J1311" s="9"/>
      <c r="K1311" s="295"/>
    </row>
    <row r="1312" spans="1:11" x14ac:dyDescent="0.2">
      <c r="A1312" s="9"/>
      <c r="B1312" s="9"/>
      <c r="C1312" s="9" t="s">
        <v>959</v>
      </c>
      <c r="D1312" s="9"/>
      <c r="E1312" s="9"/>
      <c r="F1312" s="9"/>
      <c r="G1312" s="488"/>
      <c r="H1312" s="489"/>
      <c r="I1312" s="9"/>
      <c r="J1312" s="9"/>
      <c r="K1312" s="295"/>
    </row>
    <row r="1313" spans="1:11" x14ac:dyDescent="0.2">
      <c r="A1313" s="9"/>
      <c r="B1313" s="9"/>
      <c r="C1313" s="9" t="s">
        <v>963</v>
      </c>
      <c r="D1313" s="9"/>
      <c r="E1313" s="9"/>
      <c r="F1313" s="9"/>
      <c r="G1313" s="488"/>
      <c r="H1313" s="489"/>
      <c r="I1313" s="9"/>
      <c r="J1313" s="9"/>
      <c r="K1313" s="295"/>
    </row>
    <row r="1314" spans="1:11" ht="13.15" customHeight="1" x14ac:dyDescent="0.2">
      <c r="A1314" s="9"/>
      <c r="B1314" s="9"/>
      <c r="C1314" s="9"/>
      <c r="D1314" s="9"/>
      <c r="E1314" s="9"/>
      <c r="F1314" s="9"/>
      <c r="G1314" s="9"/>
      <c r="H1314" s="9"/>
      <c r="I1314" s="9"/>
      <c r="J1314" s="9"/>
      <c r="K1314" s="295"/>
    </row>
    <row r="1315" spans="1:11" x14ac:dyDescent="0.2">
      <c r="A1315" s="34" t="s">
        <v>964</v>
      </c>
      <c r="B1315" s="9" t="s">
        <v>965</v>
      </c>
      <c r="C1315" s="9"/>
      <c r="D1315" s="9"/>
      <c r="E1315" s="9"/>
      <c r="F1315" s="9"/>
      <c r="G1315" s="9"/>
      <c r="H1315" s="9"/>
      <c r="I1315" s="9"/>
      <c r="J1315" s="9"/>
      <c r="K1315" s="295"/>
    </row>
    <row r="1316" spans="1:11" x14ac:dyDescent="0.2">
      <c r="A1316" s="9"/>
      <c r="B1316" s="9"/>
      <c r="C1316" s="9" t="s">
        <v>966</v>
      </c>
      <c r="D1316" s="9"/>
      <c r="E1316" s="9"/>
      <c r="F1316" s="9"/>
      <c r="G1316" s="488"/>
      <c r="H1316" s="489"/>
      <c r="I1316" s="9"/>
      <c r="J1316" s="9"/>
      <c r="K1316" s="295"/>
    </row>
    <row r="1317" spans="1:11" x14ac:dyDescent="0.2">
      <c r="A1317" s="9"/>
      <c r="B1317" s="9"/>
      <c r="C1317" s="9"/>
      <c r="D1317" s="9"/>
      <c r="E1317" s="9"/>
      <c r="F1317" s="9"/>
      <c r="G1317" s="9"/>
      <c r="H1317" s="9"/>
      <c r="I1317" s="9"/>
      <c r="J1317" s="9"/>
      <c r="K1317" s="295"/>
    </row>
    <row r="1318" spans="1:11" x14ac:dyDescent="0.2">
      <c r="A1318" s="34" t="s">
        <v>967</v>
      </c>
      <c r="B1318" s="9" t="s">
        <v>968</v>
      </c>
      <c r="C1318" s="9"/>
      <c r="D1318" s="9"/>
      <c r="E1318" s="9"/>
      <c r="F1318" s="9"/>
      <c r="G1318" s="488"/>
      <c r="H1318" s="489"/>
      <c r="I1318" s="9"/>
      <c r="J1318" s="9"/>
      <c r="K1318" s="295"/>
    </row>
    <row r="1319" spans="1:11" x14ac:dyDescent="0.2">
      <c r="A1319" s="9"/>
      <c r="B1319" s="9"/>
      <c r="C1319" s="9"/>
      <c r="D1319" s="9"/>
      <c r="E1319" s="9"/>
      <c r="F1319" s="9"/>
      <c r="G1319" s="9"/>
      <c r="H1319" s="9"/>
      <c r="I1319" s="9"/>
      <c r="J1319" s="9"/>
      <c r="K1319" s="295"/>
    </row>
    <row r="1320" spans="1:11" x14ac:dyDescent="0.2">
      <c r="A1320" s="34" t="s">
        <v>969</v>
      </c>
      <c r="B1320" s="9" t="s">
        <v>970</v>
      </c>
      <c r="C1320" s="9"/>
      <c r="D1320" s="9"/>
      <c r="E1320" s="9"/>
      <c r="F1320" s="9"/>
      <c r="G1320" s="488"/>
      <c r="H1320" s="489"/>
      <c r="I1320" s="9"/>
      <c r="J1320" s="9"/>
      <c r="K1320" s="295"/>
    </row>
    <row r="1321" spans="1:11" x14ac:dyDescent="0.2">
      <c r="A1321" s="9"/>
      <c r="B1321" s="9"/>
      <c r="C1321" s="9"/>
      <c r="D1321" s="9"/>
      <c r="E1321" s="9"/>
      <c r="F1321" s="9"/>
      <c r="G1321" s="9"/>
      <c r="H1321" s="9"/>
      <c r="I1321" s="9"/>
      <c r="J1321" s="9"/>
      <c r="K1321" s="295"/>
    </row>
    <row r="1322" spans="1:11" x14ac:dyDescent="0.2">
      <c r="A1322" s="34" t="s">
        <v>971</v>
      </c>
      <c r="B1322" s="9" t="s">
        <v>972</v>
      </c>
      <c r="C1322" s="9"/>
      <c r="D1322" s="9"/>
      <c r="E1322" s="9"/>
      <c r="F1322" s="9"/>
      <c r="G1322" s="488"/>
      <c r="H1322" s="489"/>
      <c r="I1322" s="9"/>
      <c r="J1322" s="9"/>
      <c r="K1322" s="295"/>
    </row>
    <row r="1323" spans="1:11" x14ac:dyDescent="0.2">
      <c r="A1323" s="9"/>
      <c r="B1323" s="9"/>
      <c r="C1323" s="9"/>
      <c r="D1323" s="9"/>
      <c r="E1323" s="9"/>
      <c r="F1323" s="9"/>
      <c r="G1323" s="9"/>
      <c r="H1323" s="9"/>
      <c r="I1323" s="9"/>
      <c r="J1323" s="9"/>
      <c r="K1323" s="295"/>
    </row>
    <row r="1324" spans="1:11" x14ac:dyDescent="0.2">
      <c r="A1324" s="34" t="s">
        <v>973</v>
      </c>
      <c r="B1324" s="9" t="s">
        <v>794</v>
      </c>
      <c r="C1324" s="9"/>
      <c r="D1324" s="9"/>
      <c r="E1324" s="9"/>
      <c r="F1324" s="9"/>
      <c r="G1324" s="488"/>
      <c r="H1324" s="489"/>
      <c r="I1324" s="9"/>
      <c r="J1324" s="9"/>
      <c r="K1324" s="295"/>
    </row>
    <row r="1325" spans="1:11" x14ac:dyDescent="0.2">
      <c r="A1325" s="9"/>
      <c r="B1325" s="9"/>
      <c r="C1325" s="9"/>
      <c r="D1325" s="9"/>
      <c r="E1325" s="9"/>
      <c r="F1325" s="9"/>
      <c r="G1325" s="9"/>
      <c r="H1325" s="9"/>
      <c r="I1325" s="9"/>
      <c r="J1325" s="9"/>
      <c r="K1325" s="295"/>
    </row>
    <row r="1326" spans="1:11" x14ac:dyDescent="0.2">
      <c r="A1326" s="34" t="s">
        <v>974</v>
      </c>
      <c r="B1326" s="9" t="s">
        <v>9</v>
      </c>
      <c r="C1326" s="9"/>
      <c r="D1326" s="9"/>
      <c r="E1326" s="9"/>
      <c r="F1326" s="9"/>
      <c r="G1326" s="488"/>
      <c r="H1326" s="489"/>
      <c r="I1326" s="9"/>
      <c r="J1326" s="9"/>
      <c r="K1326" s="295"/>
    </row>
    <row r="1327" spans="1:11" x14ac:dyDescent="0.2">
      <c r="A1327" s="9"/>
      <c r="B1327" s="9"/>
      <c r="C1327" s="9"/>
      <c r="D1327" s="9"/>
      <c r="E1327" s="9"/>
      <c r="F1327" s="9"/>
      <c r="G1327" s="9"/>
      <c r="H1327" s="9"/>
      <c r="I1327" s="9"/>
      <c r="J1327" s="9"/>
      <c r="K1327" s="295"/>
    </row>
    <row r="1328" spans="1:11" x14ac:dyDescent="0.2">
      <c r="A1328" s="9"/>
      <c r="B1328" s="9"/>
      <c r="C1328" s="9"/>
      <c r="D1328" s="9"/>
      <c r="E1328" s="9"/>
      <c r="F1328" s="9"/>
      <c r="G1328" s="9"/>
      <c r="H1328" s="9"/>
      <c r="I1328" s="9"/>
      <c r="J1328" s="9"/>
      <c r="K1328" s="295"/>
    </row>
    <row r="1329" spans="1:11" x14ac:dyDescent="0.2">
      <c r="A1329" s="9"/>
      <c r="B1329" s="9"/>
      <c r="C1329" s="9"/>
      <c r="D1329" s="9"/>
      <c r="E1329" s="9"/>
      <c r="F1329" s="9"/>
      <c r="G1329" s="9"/>
      <c r="H1329" s="9"/>
      <c r="I1329" s="9"/>
      <c r="J1329" s="9"/>
      <c r="K1329" s="295"/>
    </row>
    <row r="1330" spans="1:11" x14ac:dyDescent="0.2">
      <c r="A1330" s="441" t="s">
        <v>1060</v>
      </c>
      <c r="B1330" s="441"/>
      <c r="C1330" s="441"/>
      <c r="D1330" s="441"/>
      <c r="E1330" s="441"/>
      <c r="F1330" s="441"/>
      <c r="G1330" s="441"/>
      <c r="H1330" s="441"/>
      <c r="I1330" s="441"/>
      <c r="J1330" s="441"/>
      <c r="K1330" s="295"/>
    </row>
    <row r="1331" spans="1:11" x14ac:dyDescent="0.2">
      <c r="A1331" s="441" t="s">
        <v>1061</v>
      </c>
      <c r="B1331" s="441"/>
      <c r="C1331" s="441"/>
      <c r="D1331" s="441"/>
      <c r="E1331" s="441"/>
      <c r="F1331" s="441"/>
      <c r="G1331" s="441"/>
      <c r="H1331" s="441"/>
      <c r="I1331" s="441"/>
      <c r="J1331" s="441"/>
      <c r="K1331" s="295"/>
    </row>
    <row r="1332" spans="1:11" x14ac:dyDescent="0.2">
      <c r="A1332" s="441" t="s">
        <v>88</v>
      </c>
      <c r="B1332" s="441"/>
      <c r="C1332" s="441"/>
      <c r="D1332" s="441"/>
      <c r="E1332" s="441"/>
      <c r="F1332" s="441"/>
      <c r="G1332" s="441"/>
      <c r="H1332" s="441"/>
      <c r="I1332" s="441"/>
      <c r="J1332" s="441"/>
      <c r="K1332" s="295"/>
    </row>
    <row r="1333" spans="1:11" ht="12.75" customHeight="1" x14ac:dyDescent="0.2">
      <c r="A1333" s="26"/>
      <c r="B1333" s="9"/>
      <c r="C1333" s="9"/>
      <c r="D1333" s="446" t="str">
        <f>IF($B$229="","",$B$229)</f>
        <v/>
      </c>
      <c r="E1333" s="446"/>
      <c r="F1333" s="446"/>
      <c r="G1333" s="446"/>
      <c r="H1333" s="9"/>
      <c r="I1333" s="27"/>
      <c r="J1333" s="9"/>
      <c r="K1333" s="295"/>
    </row>
    <row r="1334" spans="1:11" x14ac:dyDescent="0.2">
      <c r="A1334" s="42"/>
      <c r="B1334" s="42"/>
      <c r="C1334" s="42"/>
      <c r="D1334" s="443" t="s">
        <v>1143</v>
      </c>
      <c r="E1334" s="443"/>
      <c r="F1334" s="443"/>
      <c r="G1334" s="443"/>
      <c r="H1334" s="42"/>
      <c r="I1334" s="42"/>
      <c r="J1334" s="42"/>
      <c r="K1334" s="295"/>
    </row>
    <row r="1335" spans="1:11" x14ac:dyDescent="0.2">
      <c r="A1335" s="443" t="s">
        <v>25</v>
      </c>
      <c r="B1335" s="443"/>
      <c r="C1335" s="443"/>
      <c r="D1335" s="443"/>
      <c r="E1335" s="443"/>
      <c r="F1335" s="443"/>
      <c r="G1335" s="443"/>
      <c r="H1335" s="443"/>
      <c r="I1335" s="443"/>
      <c r="J1335" s="443"/>
      <c r="K1335" s="295"/>
    </row>
    <row r="1336" spans="1:11" x14ac:dyDescent="0.2">
      <c r="A1336" s="9"/>
      <c r="B1336" s="9"/>
      <c r="C1336" s="9"/>
      <c r="D1336" s="9"/>
      <c r="E1336" s="9"/>
      <c r="F1336" s="9"/>
      <c r="G1336" s="9"/>
      <c r="H1336" s="9"/>
      <c r="I1336" s="9"/>
      <c r="J1336" s="9"/>
      <c r="K1336" s="295"/>
    </row>
    <row r="1337" spans="1:11" ht="13.15" customHeight="1" x14ac:dyDescent="0.2">
      <c r="A1337" s="9"/>
      <c r="B1337" s="9"/>
      <c r="C1337" s="9"/>
      <c r="D1337" s="9"/>
      <c r="E1337" s="9"/>
      <c r="F1337" s="9"/>
      <c r="G1337" s="9"/>
      <c r="H1337" s="9"/>
      <c r="I1337" s="9"/>
      <c r="J1337" s="9"/>
      <c r="K1337" s="295"/>
    </row>
    <row r="1338" spans="1:11" x14ac:dyDescent="0.2">
      <c r="A1338" s="656" t="s">
        <v>981</v>
      </c>
      <c r="B1338" s="656"/>
      <c r="C1338" s="656"/>
      <c r="D1338" s="656"/>
      <c r="E1338" s="656"/>
      <c r="F1338" s="656"/>
      <c r="G1338" s="656"/>
      <c r="H1338" s="656"/>
      <c r="I1338" s="656"/>
      <c r="J1338" s="656"/>
      <c r="K1338" s="295"/>
    </row>
    <row r="1339" spans="1:11" ht="12.75" customHeight="1" x14ac:dyDescent="0.2">
      <c r="A1339" s="656"/>
      <c r="B1339" s="656"/>
      <c r="C1339" s="656"/>
      <c r="D1339" s="656"/>
      <c r="E1339" s="656"/>
      <c r="F1339" s="656"/>
      <c r="G1339" s="656"/>
      <c r="H1339" s="656"/>
      <c r="I1339" s="656"/>
      <c r="J1339" s="656"/>
      <c r="K1339" s="295"/>
    </row>
    <row r="1340" spans="1:11" x14ac:dyDescent="0.2">
      <c r="A1340" s="656"/>
      <c r="B1340" s="656"/>
      <c r="C1340" s="656"/>
      <c r="D1340" s="656"/>
      <c r="E1340" s="656"/>
      <c r="F1340" s="656"/>
      <c r="G1340" s="656"/>
      <c r="H1340" s="656"/>
      <c r="I1340" s="656"/>
      <c r="J1340" s="656"/>
      <c r="K1340" s="295"/>
    </row>
    <row r="1341" spans="1:11" x14ac:dyDescent="0.2">
      <c r="A1341" s="656"/>
      <c r="B1341" s="656"/>
      <c r="C1341" s="656"/>
      <c r="D1341" s="656"/>
      <c r="E1341" s="656"/>
      <c r="F1341" s="656"/>
      <c r="G1341" s="656"/>
      <c r="H1341" s="656"/>
      <c r="I1341" s="656"/>
      <c r="J1341" s="656"/>
      <c r="K1341" s="295"/>
    </row>
    <row r="1342" spans="1:11" ht="12.75" customHeight="1" x14ac:dyDescent="0.2">
      <c r="A1342" s="656"/>
      <c r="B1342" s="656"/>
      <c r="C1342" s="656"/>
      <c r="D1342" s="656"/>
      <c r="E1342" s="656"/>
      <c r="F1342" s="656"/>
      <c r="G1342" s="656"/>
      <c r="H1342" s="656"/>
      <c r="I1342" s="656"/>
      <c r="J1342" s="656"/>
      <c r="K1342" s="295"/>
    </row>
    <row r="1343" spans="1:11" ht="13.15" customHeight="1" x14ac:dyDescent="0.2">
      <c r="A1343" s="9"/>
      <c r="B1343" s="9"/>
      <c r="C1343" s="9"/>
      <c r="D1343" s="9"/>
      <c r="E1343" s="9"/>
      <c r="F1343" s="9"/>
      <c r="G1343" s="9"/>
      <c r="H1343" s="9"/>
      <c r="I1343" s="9"/>
      <c r="J1343" s="9"/>
      <c r="K1343" s="295"/>
    </row>
    <row r="1344" spans="1:11" x14ac:dyDescent="0.2">
      <c r="A1344" s="656" t="s">
        <v>982</v>
      </c>
      <c r="B1344" s="656"/>
      <c r="C1344" s="656"/>
      <c r="D1344" s="656"/>
      <c r="E1344" s="656"/>
      <c r="F1344" s="656"/>
      <c r="G1344" s="656"/>
      <c r="H1344" s="656"/>
      <c r="I1344" s="656"/>
      <c r="J1344" s="656"/>
      <c r="K1344" s="295"/>
    </row>
    <row r="1345" spans="1:11" ht="12.75" customHeight="1" x14ac:dyDescent="0.2">
      <c r="A1345" s="656"/>
      <c r="B1345" s="656"/>
      <c r="C1345" s="656"/>
      <c r="D1345" s="656"/>
      <c r="E1345" s="656"/>
      <c r="F1345" s="656"/>
      <c r="G1345" s="656"/>
      <c r="H1345" s="656"/>
      <c r="I1345" s="656"/>
      <c r="J1345" s="656"/>
      <c r="K1345" s="295"/>
    </row>
    <row r="1346" spans="1:11" ht="12.75" customHeight="1" x14ac:dyDescent="0.2">
      <c r="A1346" s="656"/>
      <c r="B1346" s="656"/>
      <c r="C1346" s="656"/>
      <c r="D1346" s="656"/>
      <c r="E1346" s="656"/>
      <c r="F1346" s="656"/>
      <c r="G1346" s="656"/>
      <c r="H1346" s="656"/>
      <c r="I1346" s="656"/>
      <c r="J1346" s="656"/>
      <c r="K1346" s="295"/>
    </row>
    <row r="1347" spans="1:11" x14ac:dyDescent="0.2">
      <c r="A1347" s="656"/>
      <c r="B1347" s="656"/>
      <c r="C1347" s="656"/>
      <c r="D1347" s="656"/>
      <c r="E1347" s="656"/>
      <c r="F1347" s="656"/>
      <c r="G1347" s="656"/>
      <c r="H1347" s="656"/>
      <c r="I1347" s="656"/>
      <c r="J1347" s="656"/>
      <c r="K1347" s="295"/>
    </row>
    <row r="1348" spans="1:11" ht="12.75" customHeight="1" x14ac:dyDescent="0.2">
      <c r="A1348" s="656"/>
      <c r="B1348" s="656"/>
      <c r="C1348" s="656"/>
      <c r="D1348" s="656"/>
      <c r="E1348" s="656"/>
      <c r="F1348" s="656"/>
      <c r="G1348" s="656"/>
      <c r="H1348" s="656"/>
      <c r="I1348" s="656"/>
      <c r="J1348" s="656"/>
      <c r="K1348" s="295"/>
    </row>
    <row r="1349" spans="1:11" x14ac:dyDescent="0.2">
      <c r="A1349" s="656"/>
      <c r="B1349" s="656"/>
      <c r="C1349" s="656"/>
      <c r="D1349" s="656"/>
      <c r="E1349" s="656"/>
      <c r="F1349" s="656"/>
      <c r="G1349" s="656"/>
      <c r="H1349" s="656"/>
      <c r="I1349" s="656"/>
      <c r="J1349" s="656"/>
      <c r="K1349" s="295"/>
    </row>
    <row r="1350" spans="1:11" ht="13.15" customHeight="1" x14ac:dyDescent="0.2">
      <c r="A1350" s="9"/>
      <c r="B1350" s="9"/>
      <c r="C1350" s="9"/>
      <c r="D1350" s="9"/>
      <c r="E1350" s="9"/>
      <c r="F1350" s="9"/>
      <c r="G1350" s="9"/>
      <c r="H1350" s="9"/>
      <c r="I1350" s="9"/>
      <c r="J1350" s="9"/>
      <c r="K1350" s="295"/>
    </row>
    <row r="1351" spans="1:11" x14ac:dyDescent="0.2">
      <c r="A1351" s="656" t="s">
        <v>1120</v>
      </c>
      <c r="B1351" s="656"/>
      <c r="C1351" s="656"/>
      <c r="D1351" s="656"/>
      <c r="E1351" s="656"/>
      <c r="F1351" s="656"/>
      <c r="G1351" s="656"/>
      <c r="H1351" s="656"/>
      <c r="I1351" s="656"/>
      <c r="J1351" s="656"/>
      <c r="K1351" s="295"/>
    </row>
    <row r="1352" spans="1:11" ht="12.75" customHeight="1" x14ac:dyDescent="0.2">
      <c r="A1352" s="656"/>
      <c r="B1352" s="656"/>
      <c r="C1352" s="656"/>
      <c r="D1352" s="656"/>
      <c r="E1352" s="656"/>
      <c r="F1352" s="656"/>
      <c r="G1352" s="656"/>
      <c r="H1352" s="656"/>
      <c r="I1352" s="656"/>
      <c r="J1352" s="656"/>
      <c r="K1352" s="295"/>
    </row>
    <row r="1353" spans="1:11" x14ac:dyDescent="0.2">
      <c r="A1353" s="656"/>
      <c r="B1353" s="656"/>
      <c r="C1353" s="656"/>
      <c r="D1353" s="656"/>
      <c r="E1353" s="656"/>
      <c r="F1353" s="656"/>
      <c r="G1353" s="656"/>
      <c r="H1353" s="656"/>
      <c r="I1353" s="656"/>
      <c r="J1353" s="656"/>
      <c r="K1353" s="295"/>
    </row>
    <row r="1354" spans="1:11" x14ac:dyDescent="0.2">
      <c r="A1354" s="656"/>
      <c r="B1354" s="656"/>
      <c r="C1354" s="656"/>
      <c r="D1354" s="656"/>
      <c r="E1354" s="656"/>
      <c r="F1354" s="656"/>
      <c r="G1354" s="656"/>
      <c r="H1354" s="656"/>
      <c r="I1354" s="656"/>
      <c r="J1354" s="656"/>
      <c r="K1354" s="295"/>
    </row>
    <row r="1355" spans="1:11" ht="12.75" customHeight="1" x14ac:dyDescent="0.2">
      <c r="A1355" s="656"/>
      <c r="B1355" s="656"/>
      <c r="C1355" s="656"/>
      <c r="D1355" s="656"/>
      <c r="E1355" s="656"/>
      <c r="F1355" s="656"/>
      <c r="G1355" s="656"/>
      <c r="H1355" s="656"/>
      <c r="I1355" s="656"/>
      <c r="J1355" s="656"/>
      <c r="K1355" s="295"/>
    </row>
    <row r="1356" spans="1:11" x14ac:dyDescent="0.2">
      <c r="A1356" s="656"/>
      <c r="B1356" s="656"/>
      <c r="C1356" s="656"/>
      <c r="D1356" s="656"/>
      <c r="E1356" s="656"/>
      <c r="F1356" s="656"/>
      <c r="G1356" s="656"/>
      <c r="H1356" s="656"/>
      <c r="I1356" s="656"/>
      <c r="J1356" s="656"/>
      <c r="K1356" s="295"/>
    </row>
    <row r="1357" spans="1:11" ht="12.75" customHeight="1" x14ac:dyDescent="0.2">
      <c r="A1357" s="656"/>
      <c r="B1357" s="656"/>
      <c r="C1357" s="656"/>
      <c r="D1357" s="656"/>
      <c r="E1357" s="656"/>
      <c r="F1357" s="656"/>
      <c r="G1357" s="656"/>
      <c r="H1357" s="656"/>
      <c r="I1357" s="656"/>
      <c r="J1357" s="656"/>
      <c r="K1357" s="295"/>
    </row>
    <row r="1358" spans="1:11" x14ac:dyDescent="0.2">
      <c r="A1358" s="656"/>
      <c r="B1358" s="656"/>
      <c r="C1358" s="656"/>
      <c r="D1358" s="656"/>
      <c r="E1358" s="656"/>
      <c r="F1358" s="656"/>
      <c r="G1358" s="656"/>
      <c r="H1358" s="656"/>
      <c r="I1358" s="656"/>
      <c r="J1358" s="656"/>
      <c r="K1358" s="295"/>
    </row>
    <row r="1359" spans="1:11" x14ac:dyDescent="0.2">
      <c r="A1359" s="656"/>
      <c r="B1359" s="656"/>
      <c r="C1359" s="656"/>
      <c r="D1359" s="656"/>
      <c r="E1359" s="656"/>
      <c r="F1359" s="656"/>
      <c r="G1359" s="656"/>
      <c r="H1359" s="656"/>
      <c r="I1359" s="656"/>
      <c r="J1359" s="656"/>
      <c r="K1359" s="295"/>
    </row>
    <row r="1360" spans="1:11" x14ac:dyDescent="0.2">
      <c r="A1360" s="656"/>
      <c r="B1360" s="656"/>
      <c r="C1360" s="656"/>
      <c r="D1360" s="656"/>
      <c r="E1360" s="656"/>
      <c r="F1360" s="656"/>
      <c r="G1360" s="656"/>
      <c r="H1360" s="656"/>
      <c r="I1360" s="656"/>
      <c r="J1360" s="656"/>
      <c r="K1360" s="295"/>
    </row>
    <row r="1361" spans="1:11" ht="13.15" customHeight="1" x14ac:dyDescent="0.2">
      <c r="A1361" s="9"/>
      <c r="B1361" s="9"/>
      <c r="C1361" s="9"/>
      <c r="D1361" s="9"/>
      <c r="E1361" s="9"/>
      <c r="F1361" s="9"/>
      <c r="G1361" s="9"/>
      <c r="H1361" s="9"/>
      <c r="I1361" s="9"/>
      <c r="J1361" s="9"/>
      <c r="K1361" s="295"/>
    </row>
    <row r="1362" spans="1:11" ht="12.75" customHeight="1" x14ac:dyDescent="0.2">
      <c r="A1362" s="655" t="s">
        <v>38</v>
      </c>
      <c r="B1362" s="655"/>
      <c r="C1362" s="655"/>
      <c r="D1362" s="655"/>
      <c r="E1362" s="655"/>
      <c r="F1362" s="655"/>
      <c r="G1362" s="655"/>
      <c r="H1362" s="655"/>
      <c r="I1362" s="655"/>
      <c r="J1362" s="655"/>
      <c r="K1362" s="295"/>
    </row>
    <row r="1363" spans="1:11" ht="12.75" customHeight="1" x14ac:dyDescent="0.2">
      <c r="A1363" s="655"/>
      <c r="B1363" s="655"/>
      <c r="C1363" s="655"/>
      <c r="D1363" s="655"/>
      <c r="E1363" s="655"/>
      <c r="F1363" s="655"/>
      <c r="G1363" s="655"/>
      <c r="H1363" s="655"/>
      <c r="I1363" s="655"/>
      <c r="J1363" s="655"/>
      <c r="K1363" s="295"/>
    </row>
    <row r="1364" spans="1:11" x14ac:dyDescent="0.2">
      <c r="A1364" s="655"/>
      <c r="B1364" s="655"/>
      <c r="C1364" s="655"/>
      <c r="D1364" s="655"/>
      <c r="E1364" s="655"/>
      <c r="F1364" s="655"/>
      <c r="G1364" s="655"/>
      <c r="H1364" s="655"/>
      <c r="I1364" s="655"/>
      <c r="J1364" s="655"/>
      <c r="K1364" s="295"/>
    </row>
    <row r="1365" spans="1:11" x14ac:dyDescent="0.2">
      <c r="A1365" s="9"/>
      <c r="B1365" s="9"/>
      <c r="C1365" s="9"/>
      <c r="D1365" s="9"/>
      <c r="E1365" s="9"/>
      <c r="F1365" s="9"/>
      <c r="G1365" s="9"/>
      <c r="H1365" s="9"/>
      <c r="I1365" s="9"/>
      <c r="J1365" s="9"/>
      <c r="K1365" s="295"/>
    </row>
    <row r="1366" spans="1:11" ht="13.15" customHeight="1" x14ac:dyDescent="0.2">
      <c r="A1366" s="36" t="s">
        <v>36</v>
      </c>
      <c r="B1366" s="9"/>
      <c r="C1366" s="9"/>
      <c r="D1366" s="9"/>
      <c r="E1366" s="9"/>
      <c r="F1366" s="9"/>
      <c r="G1366" s="9"/>
      <c r="H1366" s="9"/>
      <c r="I1366" s="9"/>
      <c r="J1366" s="9"/>
      <c r="K1366" s="295"/>
    </row>
    <row r="1367" spans="1:11" x14ac:dyDescent="0.2">
      <c r="A1367" s="650" t="s">
        <v>26</v>
      </c>
      <c r="B1367" s="650"/>
      <c r="C1367" s="650"/>
      <c r="D1367" s="650"/>
      <c r="E1367" s="650"/>
      <c r="F1367" s="650"/>
      <c r="G1367" s="650"/>
      <c r="H1367" s="650"/>
      <c r="I1367" s="649"/>
      <c r="J1367" s="649"/>
      <c r="K1367" s="295"/>
    </row>
    <row r="1368" spans="1:11" ht="12.75" customHeight="1" x14ac:dyDescent="0.2">
      <c r="A1368" s="68"/>
      <c r="B1368" s="68"/>
      <c r="C1368" s="68"/>
      <c r="D1368" s="68"/>
      <c r="E1368" s="68"/>
      <c r="F1368" s="68"/>
      <c r="G1368" s="68"/>
      <c r="H1368" s="68"/>
      <c r="I1368" s="9"/>
      <c r="J1368" s="9"/>
      <c r="K1368" s="295"/>
    </row>
    <row r="1369" spans="1:11" x14ac:dyDescent="0.2">
      <c r="A1369" s="9"/>
      <c r="B1369" s="439"/>
      <c r="C1369" s="439"/>
      <c r="D1369" s="439"/>
      <c r="E1369" s="439"/>
      <c r="F1369" s="439"/>
      <c r="G1369" s="439"/>
      <c r="H1369" s="439"/>
      <c r="I1369" s="439"/>
      <c r="J1369" s="9"/>
      <c r="K1369" s="295"/>
    </row>
    <row r="1370" spans="1:11" x14ac:dyDescent="0.2">
      <c r="A1370" s="526" t="s">
        <v>39</v>
      </c>
      <c r="B1370" s="526"/>
      <c r="C1370" s="526"/>
      <c r="D1370" s="526"/>
      <c r="E1370" s="526"/>
      <c r="F1370" s="526"/>
      <c r="G1370" s="526"/>
      <c r="H1370" s="526"/>
      <c r="I1370" s="526"/>
      <c r="J1370" s="526"/>
      <c r="K1370" s="295"/>
    </row>
    <row r="1371" spans="1:11" ht="12.75" customHeight="1" x14ac:dyDescent="0.2">
      <c r="A1371" s="9"/>
      <c r="B1371" s="9"/>
      <c r="C1371" s="9"/>
      <c r="D1371" s="9"/>
      <c r="E1371" s="9"/>
      <c r="F1371" s="9"/>
      <c r="G1371" s="9"/>
      <c r="H1371" s="9"/>
      <c r="I1371" s="9"/>
      <c r="J1371" s="9"/>
      <c r="K1371" s="295"/>
    </row>
    <row r="1372" spans="1:11" x14ac:dyDescent="0.2">
      <c r="A1372" s="9"/>
      <c r="B1372" s="439"/>
      <c r="C1372" s="439"/>
      <c r="D1372" s="439"/>
      <c r="E1372" s="439"/>
      <c r="F1372" s="439"/>
      <c r="G1372" s="439"/>
      <c r="H1372" s="439"/>
      <c r="I1372" s="439"/>
      <c r="J1372" s="9"/>
      <c r="K1372" s="295"/>
    </row>
    <row r="1373" spans="1:11" x14ac:dyDescent="0.2">
      <c r="A1373" s="526" t="s">
        <v>37</v>
      </c>
      <c r="B1373" s="526"/>
      <c r="C1373" s="526"/>
      <c r="D1373" s="526"/>
      <c r="E1373" s="526"/>
      <c r="F1373" s="526"/>
      <c r="G1373" s="526"/>
      <c r="H1373" s="526"/>
      <c r="I1373" s="526"/>
      <c r="J1373" s="526"/>
      <c r="K1373" s="295"/>
    </row>
    <row r="1374" spans="1:11" x14ac:dyDescent="0.2">
      <c r="A1374" s="9"/>
      <c r="B1374" s="9"/>
      <c r="C1374" s="9"/>
      <c r="D1374" s="9"/>
      <c r="E1374" s="9"/>
      <c r="F1374" s="9"/>
      <c r="G1374" s="9"/>
      <c r="H1374" s="9"/>
      <c r="I1374" s="9"/>
      <c r="J1374" s="9"/>
      <c r="K1374" s="295"/>
    </row>
    <row r="1375" spans="1:11" x14ac:dyDescent="0.2">
      <c r="A1375" s="9"/>
      <c r="B1375" s="9"/>
      <c r="C1375" s="9"/>
      <c r="D1375" s="9"/>
      <c r="E1375" s="9"/>
      <c r="F1375" s="9"/>
      <c r="G1375" s="9"/>
      <c r="H1375" s="9"/>
      <c r="I1375" s="9"/>
      <c r="J1375" s="9"/>
      <c r="K1375" s="295"/>
    </row>
    <row r="1376" spans="1:11" x14ac:dyDescent="0.2">
      <c r="A1376" s="9"/>
      <c r="B1376" s="648"/>
      <c r="C1376" s="648"/>
      <c r="D1376" s="648"/>
      <c r="E1376" s="648"/>
      <c r="F1376" s="648"/>
      <c r="G1376" s="648"/>
      <c r="H1376" s="648"/>
      <c r="I1376" s="648"/>
      <c r="J1376" s="9"/>
      <c r="K1376" s="295"/>
    </row>
    <row r="1377" spans="1:11" x14ac:dyDescent="0.2">
      <c r="A1377" s="526" t="s">
        <v>40</v>
      </c>
      <c r="B1377" s="526"/>
      <c r="C1377" s="526"/>
      <c r="D1377" s="526"/>
      <c r="E1377" s="526"/>
      <c r="F1377" s="526"/>
      <c r="G1377" s="526"/>
      <c r="H1377" s="526"/>
      <c r="I1377" s="526"/>
      <c r="J1377" s="526"/>
      <c r="K1377" s="295"/>
    </row>
    <row r="1378" spans="1:11" x14ac:dyDescent="0.2">
      <c r="A1378" s="9"/>
      <c r="B1378" s="9"/>
      <c r="C1378" s="9"/>
      <c r="D1378" s="9"/>
      <c r="E1378" s="9"/>
      <c r="F1378" s="9"/>
      <c r="G1378" s="9"/>
      <c r="H1378" s="9"/>
      <c r="I1378" s="9"/>
      <c r="J1378" s="9"/>
      <c r="K1378" s="295"/>
    </row>
    <row r="1379" spans="1:11" x14ac:dyDescent="0.2">
      <c r="A1379" s="9"/>
      <c r="B1379" s="439"/>
      <c r="C1379" s="439"/>
      <c r="D1379" s="439"/>
      <c r="E1379" s="439"/>
      <c r="F1379" s="439"/>
      <c r="G1379" s="439"/>
      <c r="H1379" s="439"/>
      <c r="I1379" s="439"/>
      <c r="J1379" s="9"/>
      <c r="K1379" s="295"/>
    </row>
    <row r="1380" spans="1:11" x14ac:dyDescent="0.2">
      <c r="A1380" s="526" t="s">
        <v>324</v>
      </c>
      <c r="B1380" s="526"/>
      <c r="C1380" s="526"/>
      <c r="D1380" s="526"/>
      <c r="E1380" s="526"/>
      <c r="F1380" s="526"/>
      <c r="G1380" s="526"/>
      <c r="H1380" s="526"/>
      <c r="I1380" s="526"/>
      <c r="J1380" s="526"/>
      <c r="K1380" s="295"/>
    </row>
    <row r="1381" spans="1:11" x14ac:dyDescent="0.2">
      <c r="A1381" s="9"/>
      <c r="B1381" s="9"/>
      <c r="C1381" s="9"/>
      <c r="D1381" s="9"/>
      <c r="E1381" s="9"/>
      <c r="F1381" s="9"/>
      <c r="G1381" s="9"/>
      <c r="H1381" s="9"/>
      <c r="I1381" s="9"/>
      <c r="J1381" s="9"/>
      <c r="K1381" s="295"/>
    </row>
    <row r="1382" spans="1:11" x14ac:dyDescent="0.2">
      <c r="A1382" s="441" t="s">
        <v>1060</v>
      </c>
      <c r="B1382" s="441"/>
      <c r="C1382" s="441"/>
      <c r="D1382" s="441"/>
      <c r="E1382" s="441"/>
      <c r="F1382" s="441"/>
      <c r="G1382" s="441"/>
      <c r="H1382" s="441"/>
      <c r="I1382" s="441"/>
      <c r="J1382" s="441"/>
      <c r="K1382" s="295"/>
    </row>
    <row r="1383" spans="1:11" x14ac:dyDescent="0.2">
      <c r="A1383" s="441" t="s">
        <v>1061</v>
      </c>
      <c r="B1383" s="441"/>
      <c r="C1383" s="441"/>
      <c r="D1383" s="441"/>
      <c r="E1383" s="441"/>
      <c r="F1383" s="441"/>
      <c r="G1383" s="441"/>
      <c r="H1383" s="441"/>
      <c r="I1383" s="441"/>
      <c r="J1383" s="441"/>
      <c r="K1383" s="295"/>
    </row>
    <row r="1384" spans="1:11" x14ac:dyDescent="0.2">
      <c r="A1384" s="441" t="s">
        <v>88</v>
      </c>
      <c r="B1384" s="441"/>
      <c r="C1384" s="441"/>
      <c r="D1384" s="441"/>
      <c r="E1384" s="441"/>
      <c r="F1384" s="441"/>
      <c r="G1384" s="441"/>
      <c r="H1384" s="441"/>
      <c r="I1384" s="441"/>
      <c r="J1384" s="441"/>
      <c r="K1384" s="295"/>
    </row>
    <row r="1385" spans="1:11" x14ac:dyDescent="0.2">
      <c r="A1385" s="26"/>
      <c r="B1385" s="9"/>
      <c r="C1385" s="9"/>
      <c r="D1385" s="446" t="str">
        <f>IF($B$229="","",$B$229)</f>
        <v/>
      </c>
      <c r="E1385" s="446"/>
      <c r="F1385" s="446"/>
      <c r="G1385" s="446"/>
      <c r="H1385" s="9"/>
      <c r="I1385" s="27"/>
      <c r="J1385" s="9"/>
      <c r="K1385" s="295"/>
    </row>
    <row r="1386" spans="1:11" x14ac:dyDescent="0.2">
      <c r="A1386" s="9"/>
      <c r="B1386" s="9"/>
      <c r="C1386" s="9"/>
      <c r="D1386" s="443" t="s">
        <v>1143</v>
      </c>
      <c r="E1386" s="443"/>
      <c r="F1386" s="443"/>
      <c r="G1386" s="443"/>
      <c r="H1386" s="9"/>
      <c r="I1386" s="9"/>
      <c r="J1386" s="9"/>
      <c r="K1386" s="295"/>
    </row>
    <row r="1387" spans="1:11" x14ac:dyDescent="0.2">
      <c r="A1387" s="443" t="s">
        <v>1144</v>
      </c>
      <c r="B1387" s="443"/>
      <c r="C1387" s="443"/>
      <c r="D1387" s="443"/>
      <c r="E1387" s="443"/>
      <c r="F1387" s="443"/>
      <c r="G1387" s="443"/>
      <c r="H1387" s="443"/>
      <c r="I1387" s="443"/>
      <c r="J1387" s="443"/>
      <c r="K1387" s="295"/>
    </row>
    <row r="1388" spans="1:11" x14ac:dyDescent="0.2">
      <c r="A1388" s="9"/>
      <c r="B1388" s="9"/>
      <c r="C1388" s="9"/>
      <c r="D1388" s="9"/>
      <c r="E1388" s="9"/>
      <c r="F1388" s="9"/>
      <c r="G1388" s="9"/>
      <c r="H1388" s="9"/>
      <c r="I1388" s="9"/>
      <c r="J1388" s="9"/>
      <c r="K1388" s="295"/>
    </row>
    <row r="1389" spans="1:11" x14ac:dyDescent="0.2">
      <c r="A1389" s="28" t="s">
        <v>885</v>
      </c>
      <c r="B1389" s="28"/>
      <c r="C1389" s="28"/>
      <c r="D1389" s="441" t="s">
        <v>884</v>
      </c>
      <c r="E1389" s="441"/>
      <c r="F1389" s="441" t="s">
        <v>883</v>
      </c>
      <c r="G1389" s="441"/>
      <c r="H1389" s="441"/>
      <c r="I1389" s="441" t="s">
        <v>889</v>
      </c>
      <c r="J1389" s="441"/>
      <c r="K1389" s="295"/>
    </row>
    <row r="1390" spans="1:11" x14ac:dyDescent="0.2">
      <c r="A1390" s="261" t="s">
        <v>89</v>
      </c>
      <c r="B1390" s="262" t="s">
        <v>882</v>
      </c>
      <c r="C1390" s="47"/>
      <c r="D1390" s="647" t="str">
        <f>D1061</f>
        <v/>
      </c>
      <c r="E1390" s="647"/>
      <c r="F1390" s="47" t="s">
        <v>99</v>
      </c>
      <c r="G1390" s="47"/>
      <c r="H1390" s="47"/>
      <c r="I1390" s="47"/>
      <c r="J1390" s="64">
        <f>IF(D1390=0,0,IF(D1390&lt;0.3,15,IF(D1390&lt;0.35,13,IF(D1390&lt;0.4,11,IF(D1390&lt;0.45,9,IF(D1390&lt;0.501,7,0))))))</f>
        <v>0</v>
      </c>
      <c r="K1390" s="295"/>
    </row>
    <row r="1391" spans="1:11" x14ac:dyDescent="0.2">
      <c r="A1391" s="263"/>
      <c r="B1391" s="17"/>
      <c r="C1391" s="264" t="s">
        <v>100</v>
      </c>
      <c r="D1391" s="265"/>
      <c r="E1391" s="265"/>
      <c r="F1391" s="17" t="s">
        <v>462</v>
      </c>
      <c r="G1391" s="17"/>
      <c r="H1391" s="17"/>
      <c r="I1391" s="83"/>
      <c r="J1391" s="9"/>
      <c r="K1391" s="295"/>
    </row>
    <row r="1392" spans="1:11" x14ac:dyDescent="0.2">
      <c r="A1392" s="263"/>
      <c r="B1392" s="17"/>
      <c r="C1392" s="17"/>
      <c r="D1392" s="265"/>
      <c r="E1392" s="265"/>
      <c r="F1392" s="17" t="s">
        <v>463</v>
      </c>
      <c r="G1392" s="17"/>
      <c r="H1392" s="17"/>
      <c r="I1392" s="83"/>
      <c r="J1392" s="9"/>
      <c r="K1392" s="295"/>
    </row>
    <row r="1393" spans="1:11" x14ac:dyDescent="0.2">
      <c r="A1393" s="263"/>
      <c r="B1393" s="17"/>
      <c r="C1393" s="17"/>
      <c r="D1393" s="265"/>
      <c r="E1393" s="265"/>
      <c r="F1393" s="17" t="s">
        <v>464</v>
      </c>
      <c r="G1393" s="17"/>
      <c r="H1393" s="17"/>
      <c r="I1393" s="83"/>
      <c r="J1393" s="9"/>
      <c r="K1393" s="295"/>
    </row>
    <row r="1394" spans="1:11" x14ac:dyDescent="0.2">
      <c r="A1394" s="17"/>
      <c r="B1394" s="17"/>
      <c r="C1394" s="17"/>
      <c r="D1394" s="114"/>
      <c r="E1394" s="114"/>
      <c r="F1394" s="17" t="s">
        <v>465</v>
      </c>
      <c r="G1394" s="114"/>
      <c r="H1394" s="266"/>
      <c r="I1394" s="114"/>
      <c r="J1394" s="1"/>
      <c r="K1394" s="295"/>
    </row>
    <row r="1395" spans="1:11" x14ac:dyDescent="0.2">
      <c r="A1395" s="267"/>
      <c r="B1395" s="20"/>
      <c r="C1395" s="20"/>
      <c r="D1395" s="268"/>
      <c r="E1395" s="268"/>
      <c r="F1395" s="20" t="s">
        <v>466</v>
      </c>
      <c r="G1395" s="20"/>
      <c r="H1395" s="20"/>
      <c r="I1395" s="32"/>
      <c r="J1395" s="9"/>
      <c r="K1395" s="295"/>
    </row>
    <row r="1396" spans="1:11" x14ac:dyDescent="0.2">
      <c r="A1396" s="261" t="s">
        <v>90</v>
      </c>
      <c r="B1396" s="262" t="s">
        <v>101</v>
      </c>
      <c r="C1396" s="269" t="s">
        <v>102</v>
      </c>
      <c r="D1396" s="242"/>
      <c r="E1396" s="47"/>
      <c r="F1396" s="47" t="s">
        <v>890</v>
      </c>
      <c r="G1396" s="47"/>
      <c r="H1396" s="47"/>
      <c r="I1396" s="47"/>
      <c r="J1396" s="64">
        <f>IF(D1402=0,0,IF((D1401/D1402)&gt;0.1,5,IF((D1400/D1402)&gt;0.1,4,IF((D1399/D1402)&gt;0.1,3,IF((D1398/D1402)&gt;0.1,2,1)))))</f>
        <v>0</v>
      </c>
      <c r="K1396" s="295"/>
    </row>
    <row r="1397" spans="1:11" x14ac:dyDescent="0.2">
      <c r="A1397" s="17"/>
      <c r="B1397" s="17"/>
      <c r="C1397" s="270"/>
      <c r="D1397" s="83"/>
      <c r="E1397" s="114"/>
      <c r="F1397" s="17" t="s">
        <v>891</v>
      </c>
      <c r="G1397" s="114"/>
      <c r="H1397" s="17"/>
      <c r="I1397" s="114"/>
      <c r="J1397" s="1"/>
      <c r="K1397" s="295"/>
    </row>
    <row r="1398" spans="1:11" x14ac:dyDescent="0.2">
      <c r="A1398" s="17"/>
      <c r="B1398" s="17"/>
      <c r="C1398" s="271" t="s">
        <v>898</v>
      </c>
      <c r="D1398" s="83">
        <f>C1003</f>
        <v>0</v>
      </c>
      <c r="E1398" s="17"/>
      <c r="F1398" s="17" t="s">
        <v>892</v>
      </c>
      <c r="G1398" s="17"/>
      <c r="H1398" s="17"/>
      <c r="I1398" s="17"/>
      <c r="J1398" s="9"/>
      <c r="K1398" s="295"/>
    </row>
    <row r="1399" spans="1:11" x14ac:dyDescent="0.2">
      <c r="A1399" s="17"/>
      <c r="B1399" s="17"/>
      <c r="C1399" s="271" t="s">
        <v>899</v>
      </c>
      <c r="D1399" s="83">
        <f>C1004</f>
        <v>0</v>
      </c>
      <c r="E1399" s="17"/>
      <c r="F1399" s="17" t="s">
        <v>893</v>
      </c>
      <c r="G1399" s="17"/>
      <c r="H1399" s="17"/>
      <c r="I1399" s="17"/>
      <c r="J1399" s="9"/>
      <c r="K1399" s="295"/>
    </row>
    <row r="1400" spans="1:11" x14ac:dyDescent="0.2">
      <c r="A1400" s="17"/>
      <c r="B1400" s="17"/>
      <c r="C1400" s="271" t="s">
        <v>900</v>
      </c>
      <c r="D1400" s="83">
        <f>C1005</f>
        <v>0</v>
      </c>
      <c r="E1400" s="17"/>
      <c r="F1400" s="17" t="s">
        <v>894</v>
      </c>
      <c r="G1400" s="17"/>
      <c r="H1400" s="17"/>
      <c r="I1400" s="17"/>
      <c r="J1400" s="9"/>
      <c r="K1400" s="295"/>
    </row>
    <row r="1401" spans="1:11" x14ac:dyDescent="0.2">
      <c r="A1401" s="17"/>
      <c r="B1401" s="17"/>
      <c r="C1401" s="271" t="s">
        <v>901</v>
      </c>
      <c r="D1401" s="83">
        <f>C1006</f>
        <v>0</v>
      </c>
      <c r="E1401" s="17"/>
      <c r="F1401" s="17" t="s">
        <v>895</v>
      </c>
      <c r="G1401" s="17"/>
      <c r="H1401" s="17"/>
      <c r="I1401" s="17"/>
      <c r="J1401" s="9"/>
      <c r="K1401" s="295"/>
    </row>
    <row r="1402" spans="1:11" x14ac:dyDescent="0.2">
      <c r="A1402" s="20"/>
      <c r="B1402" s="20"/>
      <c r="C1402" s="272" t="s">
        <v>896</v>
      </c>
      <c r="D1402" s="32">
        <f>SUM(D1396:D1401)</f>
        <v>0</v>
      </c>
      <c r="E1402" s="20"/>
      <c r="F1402" s="20"/>
      <c r="G1402" s="20"/>
      <c r="H1402" s="20"/>
      <c r="I1402" s="20"/>
      <c r="J1402" s="9"/>
      <c r="K1402" s="295"/>
    </row>
    <row r="1403" spans="1:11" x14ac:dyDescent="0.2">
      <c r="A1403" s="261" t="s">
        <v>91</v>
      </c>
      <c r="B1403" s="262" t="s">
        <v>1027</v>
      </c>
      <c r="C1403" s="47"/>
      <c r="D1403" s="197" t="str">
        <f>F941</f>
        <v/>
      </c>
      <c r="E1403" s="197"/>
      <c r="F1403" s="273" t="s">
        <v>897</v>
      </c>
      <c r="G1403" s="274">
        <f>I844</f>
        <v>0</v>
      </c>
      <c r="H1403" s="275" t="s">
        <v>902</v>
      </c>
      <c r="I1403" s="197">
        <f>IF(G1404=0,0,(G1403/G1404)*3)</f>
        <v>0</v>
      </c>
      <c r="J1403" s="100">
        <f>IF(I1403&lt;25,I1403,25)</f>
        <v>0</v>
      </c>
      <c r="K1403" s="295"/>
    </row>
    <row r="1404" spans="1:11" x14ac:dyDescent="0.2">
      <c r="A1404" s="20"/>
      <c r="B1404" s="20"/>
      <c r="C1404" s="389" t="s">
        <v>858</v>
      </c>
      <c r="D1404" s="20"/>
      <c r="E1404" s="20"/>
      <c r="F1404" s="272" t="s">
        <v>1028</v>
      </c>
      <c r="G1404" s="131">
        <f>D913</f>
        <v>0</v>
      </c>
      <c r="H1404" s="62" t="s">
        <v>903</v>
      </c>
      <c r="I1404" s="62"/>
      <c r="J1404" s="9"/>
      <c r="K1404" s="295"/>
    </row>
    <row r="1405" spans="1:11" x14ac:dyDescent="0.2">
      <c r="A1405" s="261" t="s">
        <v>92</v>
      </c>
      <c r="B1405" s="384" t="s">
        <v>1132</v>
      </c>
      <c r="C1405" s="385"/>
      <c r="D1405" s="386"/>
      <c r="E1405" s="386"/>
      <c r="F1405" s="385"/>
      <c r="G1405" s="387"/>
      <c r="H1405" s="388"/>
      <c r="I1405" s="388"/>
      <c r="J1405" s="100">
        <f>IF(J1406="Yes",5,0)+IF(J1407="Yes",5,0)</f>
        <v>0</v>
      </c>
      <c r="K1405" s="295"/>
    </row>
    <row r="1406" spans="1:11" x14ac:dyDescent="0.2">
      <c r="A1406" s="386"/>
      <c r="B1406" s="270" t="s">
        <v>1133</v>
      </c>
      <c r="C1406" s="385"/>
      <c r="D1406" s="386"/>
      <c r="E1406" s="386"/>
      <c r="F1406" s="385"/>
      <c r="G1406" s="387"/>
      <c r="H1406" s="388"/>
      <c r="I1406" s="388"/>
      <c r="J1406" s="382"/>
      <c r="K1406" s="295"/>
    </row>
    <row r="1407" spans="1:11" x14ac:dyDescent="0.2">
      <c r="A1407" s="386"/>
      <c r="B1407" s="270" t="s">
        <v>1134</v>
      </c>
      <c r="C1407" s="385"/>
      <c r="D1407" s="386"/>
      <c r="E1407" s="386"/>
      <c r="F1407" s="385"/>
      <c r="G1407" s="387"/>
      <c r="H1407" s="388"/>
      <c r="I1407" s="388"/>
      <c r="J1407" s="382"/>
      <c r="K1407" s="295"/>
    </row>
    <row r="1408" spans="1:11" x14ac:dyDescent="0.2">
      <c r="A1408" s="261" t="s">
        <v>93</v>
      </c>
      <c r="B1408" s="262" t="s">
        <v>887</v>
      </c>
      <c r="C1408" s="47"/>
      <c r="D1408" s="47" t="s">
        <v>905</v>
      </c>
      <c r="E1408" s="47"/>
      <c r="F1408" s="47" t="s">
        <v>904</v>
      </c>
      <c r="G1408" s="47"/>
      <c r="H1408" s="47"/>
      <c r="I1408" s="47"/>
      <c r="J1408" s="64">
        <f>IF(D1412&lt;15001,10,IF(D1412&lt;26001,7,IF(D1412&lt;75001,5,IF(D1412&lt;100000,2,0))))</f>
        <v>0</v>
      </c>
      <c r="K1408" s="295"/>
    </row>
    <row r="1409" spans="1:12" x14ac:dyDescent="0.2">
      <c r="A1409" s="17"/>
      <c r="B1409" s="17"/>
      <c r="C1409" s="17"/>
      <c r="D1409" s="264" t="s">
        <v>752</v>
      </c>
      <c r="E1409" s="17"/>
      <c r="F1409" s="17" t="s">
        <v>906</v>
      </c>
      <c r="G1409" s="17"/>
      <c r="H1409" s="17"/>
      <c r="I1409" s="17"/>
      <c r="J1409" s="9"/>
      <c r="K1409" s="295"/>
    </row>
    <row r="1410" spans="1:12" x14ac:dyDescent="0.2">
      <c r="A1410" s="17"/>
      <c r="B1410" s="17"/>
      <c r="C1410" s="17"/>
      <c r="D1410" s="646" t="str">
        <f>IF(B235="","",B235)</f>
        <v/>
      </c>
      <c r="E1410" s="646"/>
      <c r="F1410" s="17" t="s">
        <v>907</v>
      </c>
      <c r="G1410" s="17"/>
      <c r="H1410" s="17"/>
      <c r="I1410" s="17"/>
      <c r="J1410" s="9"/>
      <c r="K1410" s="295"/>
    </row>
    <row r="1411" spans="1:12" x14ac:dyDescent="0.2">
      <c r="A1411" s="17"/>
      <c r="B1411" s="17"/>
      <c r="C1411" s="17"/>
      <c r="D1411" s="264" t="s">
        <v>461</v>
      </c>
      <c r="E1411" s="17"/>
      <c r="F1411" s="17" t="s">
        <v>908</v>
      </c>
      <c r="G1411" s="17"/>
      <c r="H1411" s="17"/>
      <c r="I1411" s="17"/>
      <c r="J1411" s="9"/>
      <c r="K1411" s="295"/>
    </row>
    <row r="1412" spans="1:12" x14ac:dyDescent="0.2">
      <c r="A1412" s="20"/>
      <c r="B1412" s="20"/>
      <c r="C1412" s="20"/>
      <c r="D1412" s="438" t="str">
        <f>IF(D1410="","",VLOOKUP(D1410,'Income Limits, Mortgage, Amort'!A35:B63,2))</f>
        <v/>
      </c>
      <c r="E1412" s="438"/>
      <c r="F1412" s="20" t="s">
        <v>909</v>
      </c>
      <c r="G1412" s="20"/>
      <c r="H1412" s="20"/>
      <c r="I1412" s="20"/>
      <c r="J1412" s="9"/>
      <c r="K1412" s="295"/>
    </row>
    <row r="1413" spans="1:12" x14ac:dyDescent="0.2">
      <c r="A1413" s="261" t="s">
        <v>109</v>
      </c>
      <c r="B1413" s="262" t="s">
        <v>94</v>
      </c>
      <c r="C1413" s="47"/>
      <c r="D1413" s="47"/>
      <c r="E1413" s="47" t="s">
        <v>98</v>
      </c>
      <c r="F1413" s="47"/>
      <c r="G1413" s="47"/>
      <c r="H1413" s="47"/>
      <c r="I1413" s="47"/>
      <c r="J1413" s="64">
        <f>IF(C257="New Construction",0,IF(H1418&gt;2,10,0))</f>
        <v>0</v>
      </c>
      <c r="K1413" s="295"/>
    </row>
    <row r="1414" spans="1:12" x14ac:dyDescent="0.2">
      <c r="A1414" s="17"/>
      <c r="B1414" s="17" t="s">
        <v>97</v>
      </c>
      <c r="C1414" s="112"/>
      <c r="D1414" s="112" t="s">
        <v>105</v>
      </c>
      <c r="E1414" s="112"/>
      <c r="F1414" s="239"/>
      <c r="G1414" s="114"/>
      <c r="H1414" s="17"/>
      <c r="I1414" s="17"/>
      <c r="J1414" s="9"/>
      <c r="K1414" s="295"/>
    </row>
    <row r="1415" spans="1:12" x14ac:dyDescent="0.2">
      <c r="A1415" s="17"/>
      <c r="B1415" s="114" t="s">
        <v>106</v>
      </c>
      <c r="C1415" s="114"/>
      <c r="D1415" s="152"/>
      <c r="E1415" s="114"/>
      <c r="F1415" s="44" t="s">
        <v>947</v>
      </c>
      <c r="G1415" s="114"/>
      <c r="H1415" s="152"/>
      <c r="I1415" s="17"/>
      <c r="J1415" s="9"/>
      <c r="K1415" s="295"/>
    </row>
    <row r="1416" spans="1:12" x14ac:dyDescent="0.2">
      <c r="A1416" s="263"/>
      <c r="B1416" s="114" t="s">
        <v>103</v>
      </c>
      <c r="C1416" s="17"/>
      <c r="D1416" s="152"/>
      <c r="E1416" s="114"/>
      <c r="F1416" s="44" t="s">
        <v>107</v>
      </c>
      <c r="G1416" s="114"/>
      <c r="H1416" s="152"/>
      <c r="I1416" s="114"/>
      <c r="J1416" s="1"/>
      <c r="K1416" s="295"/>
      <c r="L1416" s="23" t="s">
        <v>227</v>
      </c>
    </row>
    <row r="1417" spans="1:12" x14ac:dyDescent="0.2">
      <c r="A1417" s="17"/>
      <c r="B1417" s="114" t="s">
        <v>104</v>
      </c>
      <c r="C1417" s="17"/>
      <c r="D1417" s="152"/>
      <c r="E1417" s="114"/>
      <c r="F1417" s="44"/>
      <c r="G1417" s="264" t="s">
        <v>1067</v>
      </c>
      <c r="H1417" s="152"/>
      <c r="I1417" s="114"/>
      <c r="J1417" s="1"/>
      <c r="K1417" s="295"/>
      <c r="L1417" s="23" t="s">
        <v>226</v>
      </c>
    </row>
    <row r="1418" spans="1:12" x14ac:dyDescent="0.2">
      <c r="A1418" s="267"/>
      <c r="B1418" s="20"/>
      <c r="C1418" s="20"/>
      <c r="D1418" s="276"/>
      <c r="E1418" s="276"/>
      <c r="F1418" s="276"/>
      <c r="G1418" s="277" t="s">
        <v>108</v>
      </c>
      <c r="H1418" s="64">
        <f>COUNTIF(D1415:H1417,"Yes")</f>
        <v>0</v>
      </c>
      <c r="I1418" s="20"/>
      <c r="J1418" s="1"/>
      <c r="K1418" s="295"/>
    </row>
    <row r="1419" spans="1:12" x14ac:dyDescent="0.2">
      <c r="A1419" s="261" t="s">
        <v>146</v>
      </c>
      <c r="B1419" s="262" t="s">
        <v>96</v>
      </c>
      <c r="C1419" s="47"/>
      <c r="D1419" s="47" t="s">
        <v>858</v>
      </c>
      <c r="E1419" s="278"/>
      <c r="F1419" s="47"/>
      <c r="G1419" s="279"/>
      <c r="H1419" s="279"/>
      <c r="I1419" s="279"/>
      <c r="J1419" s="100">
        <f>IF(G1422="New Construction",25,IF(G1422="Non-Residential Conversion",25,IF(G1423=0,0,IF((G1426/G1423)&gt;0,25*(G1423/G1429),0))))</f>
        <v>0</v>
      </c>
      <c r="K1419" s="295"/>
    </row>
    <row r="1420" spans="1:12" x14ac:dyDescent="0.2">
      <c r="A1420" s="17"/>
      <c r="B1420" s="17" t="s">
        <v>473</v>
      </c>
      <c r="C1420" s="17"/>
      <c r="D1420" s="17"/>
      <c r="E1420" s="17"/>
      <c r="F1420" s="17"/>
      <c r="G1420" s="266"/>
      <c r="H1420" s="266"/>
      <c r="I1420" s="266"/>
      <c r="J1420" s="9"/>
      <c r="K1420" s="295"/>
    </row>
    <row r="1421" spans="1:12" x14ac:dyDescent="0.2">
      <c r="A1421" s="17"/>
      <c r="B1421" s="17" t="s">
        <v>472</v>
      </c>
      <c r="C1421" s="17"/>
      <c r="D1421" s="17"/>
      <c r="E1421" s="17"/>
      <c r="F1421" s="17"/>
      <c r="G1421" s="280"/>
      <c r="H1421" s="280"/>
      <c r="I1421" s="280"/>
      <c r="J1421" s="9"/>
      <c r="K1421" s="295"/>
    </row>
    <row r="1422" spans="1:12" x14ac:dyDescent="0.2">
      <c r="A1422" s="17"/>
      <c r="B1422" s="114"/>
      <c r="C1422" s="281" t="s">
        <v>469</v>
      </c>
      <c r="D1422" s="114"/>
      <c r="E1422" s="126"/>
      <c r="F1422" s="126"/>
      <c r="G1422" s="611" t="str">
        <f>IF(C257="","",C257)</f>
        <v/>
      </c>
      <c r="H1422" s="611"/>
      <c r="I1422" s="611"/>
      <c r="J1422" s="9"/>
      <c r="K1422" s="295"/>
    </row>
    <row r="1423" spans="1:12" x14ac:dyDescent="0.2">
      <c r="A1423" s="17"/>
      <c r="B1423" s="114"/>
      <c r="C1423" s="281" t="s">
        <v>470</v>
      </c>
      <c r="D1423" s="114"/>
      <c r="E1423" s="114"/>
      <c r="F1423" s="83"/>
      <c r="G1423" s="144"/>
      <c r="H1423" s="114"/>
      <c r="I1423" s="17"/>
      <c r="J1423" s="9"/>
      <c r="K1423" s="295"/>
    </row>
    <row r="1424" spans="1:12" x14ac:dyDescent="0.2">
      <c r="A1424" s="17"/>
      <c r="B1424" s="17"/>
      <c r="C1424" s="114" t="s">
        <v>717</v>
      </c>
      <c r="D1424" s="114"/>
      <c r="E1424" s="114"/>
      <c r="F1424" s="114"/>
      <c r="G1424" s="114"/>
      <c r="H1424" s="17"/>
      <c r="I1424" s="17"/>
      <c r="J1424" s="1"/>
      <c r="K1424" s="295"/>
    </row>
    <row r="1425" spans="1:11" x14ac:dyDescent="0.2">
      <c r="A1425" s="263"/>
      <c r="B1425" s="17"/>
      <c r="C1425" s="114" t="s">
        <v>719</v>
      </c>
      <c r="D1425" s="114"/>
      <c r="E1425" s="114"/>
      <c r="F1425" s="114"/>
      <c r="G1425" s="114"/>
      <c r="H1425" s="17"/>
      <c r="I1425" s="17"/>
      <c r="J1425" s="1"/>
      <c r="K1425" s="295"/>
    </row>
    <row r="1426" spans="1:11" x14ac:dyDescent="0.2">
      <c r="A1426" s="17"/>
      <c r="B1426" s="17"/>
      <c r="C1426" s="281" t="s">
        <v>471</v>
      </c>
      <c r="D1426" s="90"/>
      <c r="E1426" s="114"/>
      <c r="F1426" s="83"/>
      <c r="G1426" s="138"/>
      <c r="H1426" s="17"/>
      <c r="I1426" s="17"/>
      <c r="J1426" s="9"/>
      <c r="K1426" s="295"/>
    </row>
    <row r="1427" spans="1:11" ht="12.75" customHeight="1" x14ac:dyDescent="0.2">
      <c r="A1427" s="263"/>
      <c r="B1427" s="17"/>
      <c r="C1427" s="114" t="s">
        <v>718</v>
      </c>
      <c r="D1427" s="114"/>
      <c r="E1427" s="114"/>
      <c r="F1427" s="114"/>
      <c r="G1427" s="114"/>
      <c r="H1427" s="17"/>
      <c r="I1427" s="17"/>
      <c r="J1427" s="1"/>
      <c r="K1427" s="295"/>
    </row>
    <row r="1428" spans="1:11" ht="13.5" customHeight="1" x14ac:dyDescent="0.2">
      <c r="A1428" s="263"/>
      <c r="B1428" s="17"/>
      <c r="C1428" s="17" t="s">
        <v>720</v>
      </c>
      <c r="D1428" s="17"/>
      <c r="E1428" s="282"/>
      <c r="F1428" s="17"/>
      <c r="G1428" s="17"/>
      <c r="H1428" s="17"/>
      <c r="I1428" s="17"/>
      <c r="J1428" s="1"/>
      <c r="K1428" s="295"/>
    </row>
    <row r="1429" spans="1:11" x14ac:dyDescent="0.2">
      <c r="A1429" s="267"/>
      <c r="B1429" s="20"/>
      <c r="C1429" s="283" t="s">
        <v>716</v>
      </c>
      <c r="D1429" s="20"/>
      <c r="E1429" s="284"/>
      <c r="F1429" s="20"/>
      <c r="G1429" s="32">
        <f>G1423+G1426</f>
        <v>0</v>
      </c>
      <c r="H1429" s="20"/>
      <c r="I1429" s="20"/>
      <c r="J1429" s="83"/>
      <c r="K1429" s="295"/>
    </row>
    <row r="1430" spans="1:11" x14ac:dyDescent="0.2">
      <c r="A1430" s="261" t="s">
        <v>147</v>
      </c>
      <c r="B1430" s="262" t="s">
        <v>859</v>
      </c>
      <c r="C1430" s="285"/>
      <c r="D1430" s="47" t="s">
        <v>102</v>
      </c>
      <c r="E1430" s="286"/>
      <c r="F1430" s="47"/>
      <c r="G1430" s="242"/>
      <c r="H1430" s="47"/>
      <c r="I1430" s="47"/>
      <c r="J1430" s="100">
        <f>IF(H1432="Yes",5,IF(H1433="Yes",5,IF(H1434="Yes",5,0)))</f>
        <v>0</v>
      </c>
      <c r="K1430" s="295"/>
    </row>
    <row r="1431" spans="1:11" x14ac:dyDescent="0.2">
      <c r="A1431" s="263"/>
      <c r="B1431" s="17" t="s">
        <v>860</v>
      </c>
      <c r="C1431" s="287"/>
      <c r="D1431" s="17"/>
      <c r="E1431" s="282"/>
      <c r="F1431" s="17"/>
      <c r="G1431" s="83"/>
      <c r="H1431" s="17"/>
      <c r="I1431" s="17"/>
      <c r="J1431" s="83"/>
      <c r="K1431" s="295"/>
    </row>
    <row r="1432" spans="1:11" x14ac:dyDescent="0.2">
      <c r="A1432" s="263"/>
      <c r="B1432" s="17"/>
      <c r="C1432" s="17" t="s">
        <v>639</v>
      </c>
      <c r="D1432" s="17"/>
      <c r="E1432" s="282"/>
      <c r="F1432" s="17"/>
      <c r="G1432" s="83"/>
      <c r="H1432" s="152"/>
      <c r="I1432" s="17"/>
      <c r="J1432" s="83"/>
      <c r="K1432" s="295"/>
    </row>
    <row r="1433" spans="1:11" x14ac:dyDescent="0.2">
      <c r="A1433" s="263"/>
      <c r="B1433" s="17"/>
      <c r="C1433" s="17" t="s">
        <v>640</v>
      </c>
      <c r="D1433" s="17"/>
      <c r="E1433" s="282"/>
      <c r="F1433" s="17"/>
      <c r="G1433" s="83"/>
      <c r="H1433" s="288"/>
      <c r="I1433" s="17"/>
      <c r="J1433" s="83"/>
      <c r="K1433" s="295"/>
    </row>
    <row r="1434" spans="1:11" x14ac:dyDescent="0.2">
      <c r="A1434" s="263"/>
      <c r="B1434" s="17"/>
      <c r="C1434" s="20" t="s">
        <v>641</v>
      </c>
      <c r="D1434" s="17"/>
      <c r="E1434" s="282"/>
      <c r="F1434" s="17"/>
      <c r="G1434" s="83"/>
      <c r="H1434" s="288"/>
      <c r="I1434" s="17"/>
      <c r="J1434" s="83"/>
      <c r="K1434" s="295"/>
    </row>
    <row r="1435" spans="1:11" ht="13.5" thickBot="1" x14ac:dyDescent="0.25">
      <c r="A1435" s="289"/>
      <c r="B1435" s="47"/>
      <c r="C1435" s="47"/>
      <c r="D1435" s="47"/>
      <c r="E1435" s="286"/>
      <c r="F1435" s="47"/>
      <c r="G1435" s="242"/>
      <c r="H1435" s="251"/>
      <c r="I1435" s="47"/>
      <c r="J1435" s="242"/>
      <c r="K1435" s="295"/>
    </row>
    <row r="1436" spans="1:11" ht="15" x14ac:dyDescent="0.2">
      <c r="A1436" s="260" t="s">
        <v>95</v>
      </c>
      <c r="B1436" s="158"/>
      <c r="C1436" s="158"/>
      <c r="D1436" s="158"/>
      <c r="E1436" s="158"/>
      <c r="F1436" s="158"/>
      <c r="G1436" s="158"/>
      <c r="H1436" s="159"/>
      <c r="I1436" s="642">
        <f>J1390+J1396+J1403+J1405+J1408+J1413+J1419+J1430</f>
        <v>0</v>
      </c>
      <c r="J1436" s="643"/>
      <c r="K1436" s="295"/>
    </row>
    <row r="1437" spans="1:11" ht="15.75" thickBot="1" x14ac:dyDescent="0.25">
      <c r="A1437" s="158"/>
      <c r="B1437" s="158"/>
      <c r="C1437" s="158"/>
      <c r="D1437" s="158"/>
      <c r="E1437" s="158"/>
      <c r="F1437" s="158"/>
      <c r="G1437" s="158"/>
      <c r="H1437" s="159"/>
      <c r="I1437" s="644"/>
      <c r="J1437" s="645"/>
      <c r="K1437" s="295"/>
    </row>
    <row r="1438" spans="1:11" x14ac:dyDescent="0.2">
      <c r="A1438" s="98"/>
      <c r="B1438" s="9"/>
      <c r="C1438" s="9"/>
      <c r="D1438" s="9"/>
      <c r="E1438" s="1"/>
      <c r="F1438" s="9"/>
      <c r="G1438" s="9"/>
      <c r="H1438" s="9"/>
      <c r="I1438" s="9"/>
      <c r="J1438" s="9"/>
      <c r="K1438" s="295"/>
    </row>
    <row r="1439" spans="1:11" ht="15" customHeight="1" x14ac:dyDescent="0.2">
      <c r="K1439" s="295"/>
    </row>
    <row r="1440" spans="1:11" ht="15.75" customHeight="1" x14ac:dyDescent="0.2">
      <c r="K1440" s="295"/>
    </row>
    <row r="1441" spans="11:11" x14ac:dyDescent="0.2">
      <c r="K1441" s="295"/>
    </row>
    <row r="1442" spans="11:11" ht="15" customHeight="1" x14ac:dyDescent="0.2">
      <c r="K1442" s="295"/>
    </row>
    <row r="1443" spans="11:11" ht="15.75" customHeight="1" x14ac:dyDescent="0.2">
      <c r="K1443" s="295"/>
    </row>
    <row r="1444" spans="11:11" x14ac:dyDescent="0.2">
      <c r="K1444" s="295"/>
    </row>
    <row r="1445" spans="11:11" x14ac:dyDescent="0.2">
      <c r="K1445" s="295"/>
    </row>
    <row r="1446" spans="11:11" x14ac:dyDescent="0.2">
      <c r="K1446" s="295"/>
    </row>
    <row r="1447" spans="11:11" x14ac:dyDescent="0.2">
      <c r="K1447" s="295"/>
    </row>
    <row r="1448" spans="11:11" x14ac:dyDescent="0.2">
      <c r="K1448" s="295"/>
    </row>
    <row r="1449" spans="11:11" x14ac:dyDescent="0.2">
      <c r="K1449" s="295"/>
    </row>
    <row r="1450" spans="11:11" x14ac:dyDescent="0.2">
      <c r="K1450" s="295"/>
    </row>
    <row r="1451" spans="11:11" x14ac:dyDescent="0.2">
      <c r="K1451" s="295"/>
    </row>
    <row r="1452" spans="11:11" x14ac:dyDescent="0.2">
      <c r="K1452" s="295"/>
    </row>
    <row r="1453" spans="11:11" x14ac:dyDescent="0.2">
      <c r="K1453" s="295"/>
    </row>
    <row r="1454" spans="11:11" x14ac:dyDescent="0.2">
      <c r="K1454" s="295"/>
    </row>
    <row r="1455" spans="11:11" x14ac:dyDescent="0.2">
      <c r="K1455" s="295"/>
    </row>
    <row r="1456" spans="11:11" x14ac:dyDescent="0.2">
      <c r="K1456" s="295"/>
    </row>
    <row r="1457" spans="11:11" x14ac:dyDescent="0.2">
      <c r="K1457" s="295"/>
    </row>
    <row r="1458" spans="11:11" x14ac:dyDescent="0.2">
      <c r="K1458" s="295"/>
    </row>
    <row r="1459" spans="11:11" x14ac:dyDescent="0.2">
      <c r="K1459" s="295"/>
    </row>
    <row r="1460" spans="11:11" x14ac:dyDescent="0.2">
      <c r="K1460" s="295"/>
    </row>
    <row r="1461" spans="11:11" x14ac:dyDescent="0.2">
      <c r="K1461" s="295"/>
    </row>
    <row r="1462" spans="11:11" x14ac:dyDescent="0.2">
      <c r="K1462" s="295"/>
    </row>
    <row r="1463" spans="11:11" x14ac:dyDescent="0.2">
      <c r="K1463" s="295"/>
    </row>
    <row r="1464" spans="11:11" x14ac:dyDescent="0.2">
      <c r="K1464" s="295"/>
    </row>
    <row r="1465" spans="11:11" x14ac:dyDescent="0.2">
      <c r="K1465" s="295"/>
    </row>
    <row r="1466" spans="11:11" x14ac:dyDescent="0.2">
      <c r="K1466" s="295"/>
    </row>
    <row r="1467" spans="11:11" x14ac:dyDescent="0.2">
      <c r="K1467" s="295"/>
    </row>
    <row r="1468" spans="11:11" x14ac:dyDescent="0.2">
      <c r="K1468" s="295"/>
    </row>
    <row r="1469" spans="11:11" x14ac:dyDescent="0.2">
      <c r="K1469" s="295"/>
    </row>
    <row r="1470" spans="11:11" x14ac:dyDescent="0.2">
      <c r="K1470" s="295"/>
    </row>
    <row r="1471" spans="11:11" x14ac:dyDescent="0.2">
      <c r="K1471" s="295"/>
    </row>
    <row r="1472" spans="11:11" x14ac:dyDescent="0.2">
      <c r="K1472" s="295"/>
    </row>
    <row r="1473" spans="11:11" x14ac:dyDescent="0.2">
      <c r="K1473" s="295"/>
    </row>
    <row r="1474" spans="11:11" x14ac:dyDescent="0.2">
      <c r="K1474" s="295"/>
    </row>
    <row r="1475" spans="11:11" x14ac:dyDescent="0.2">
      <c r="K1475" s="295"/>
    </row>
    <row r="1476" spans="11:11" x14ac:dyDescent="0.2">
      <c r="K1476" s="295"/>
    </row>
    <row r="1477" spans="11:11" x14ac:dyDescent="0.2">
      <c r="K1477" s="295"/>
    </row>
    <row r="1478" spans="11:11" x14ac:dyDescent="0.2">
      <c r="K1478" s="295"/>
    </row>
    <row r="1479" spans="11:11" x14ac:dyDescent="0.2">
      <c r="K1479" s="295"/>
    </row>
    <row r="1480" spans="11:11" x14ac:dyDescent="0.2">
      <c r="K1480" s="295"/>
    </row>
    <row r="1481" spans="11:11" x14ac:dyDescent="0.2">
      <c r="K1481" s="295"/>
    </row>
    <row r="1482" spans="11:11" x14ac:dyDescent="0.2">
      <c r="K1482" s="295"/>
    </row>
    <row r="1483" spans="11:11" x14ac:dyDescent="0.2">
      <c r="K1483" s="295"/>
    </row>
    <row r="1484" spans="11:11" x14ac:dyDescent="0.2">
      <c r="K1484" s="295"/>
    </row>
    <row r="1485" spans="11:11" x14ac:dyDescent="0.2">
      <c r="K1485" s="295"/>
    </row>
    <row r="1486" spans="11:11" x14ac:dyDescent="0.2">
      <c r="K1486" s="295"/>
    </row>
    <row r="1487" spans="11:11" x14ac:dyDescent="0.2">
      <c r="K1487" s="295"/>
    </row>
    <row r="1488" spans="11:11" x14ac:dyDescent="0.2">
      <c r="K1488" s="295"/>
    </row>
    <row r="1489" spans="11:11" x14ac:dyDescent="0.2">
      <c r="K1489" s="295"/>
    </row>
    <row r="1490" spans="11:11" x14ac:dyDescent="0.2">
      <c r="K1490" s="295"/>
    </row>
    <row r="1491" spans="11:11" x14ac:dyDescent="0.2">
      <c r="K1491" s="295"/>
    </row>
    <row r="1492" spans="11:11" x14ac:dyDescent="0.2">
      <c r="K1492" s="295"/>
    </row>
    <row r="1493" spans="11:11" x14ac:dyDescent="0.2">
      <c r="K1493" s="295"/>
    </row>
    <row r="1494" spans="11:11" x14ac:dyDescent="0.2">
      <c r="K1494" s="295"/>
    </row>
    <row r="1495" spans="11:11" x14ac:dyDescent="0.2">
      <c r="K1495" s="295"/>
    </row>
    <row r="1496" spans="11:11" x14ac:dyDescent="0.2">
      <c r="K1496" s="295"/>
    </row>
    <row r="1497" spans="11:11" x14ac:dyDescent="0.2">
      <c r="K1497" s="295"/>
    </row>
    <row r="1498" spans="11:11" x14ac:dyDescent="0.2">
      <c r="K1498" s="295"/>
    </row>
    <row r="1499" spans="11:11" x14ac:dyDescent="0.2">
      <c r="K1499" s="295"/>
    </row>
    <row r="1500" spans="11:11" x14ac:dyDescent="0.2">
      <c r="K1500" s="295"/>
    </row>
  </sheetData>
  <sheetProtection algorithmName="SHA-512" hashValue="a2BNYGbJp5yNbMOndjMDthSR3UKhOlR+OMExrrv3BhEpsPLz8oD1z+7Ux2nhJTcp1FE2vo7pZ3BatnnhBn0B8w==" saltValue="+vEOay98Bh2Jf+0l0uM9Ug==" spinCount="100000" sheet="1" objects="1" scenarios="1"/>
  <mergeCells count="1053">
    <mergeCell ref="A1068:J1068"/>
    <mergeCell ref="G1043:H1043"/>
    <mergeCell ref="G881:J881"/>
    <mergeCell ref="A990:I991"/>
    <mergeCell ref="D903:G903"/>
    <mergeCell ref="D911:E911"/>
    <mergeCell ref="D914:E914"/>
    <mergeCell ref="I940:J940"/>
    <mergeCell ref="E894:F894"/>
    <mergeCell ref="A915:E915"/>
    <mergeCell ref="B979:C979"/>
    <mergeCell ref="I938:J938"/>
    <mergeCell ref="I936:J936"/>
    <mergeCell ref="G931:H931"/>
    <mergeCell ref="D1012:G1012"/>
    <mergeCell ref="D1021:D1022"/>
    <mergeCell ref="I1021:I1022"/>
    <mergeCell ref="A1171:J1171"/>
    <mergeCell ref="A1163:J1168"/>
    <mergeCell ref="A1155:J1160"/>
    <mergeCell ref="A1147:J1152"/>
    <mergeCell ref="E1052:F1052"/>
    <mergeCell ref="C1052:D1052"/>
    <mergeCell ref="B1035:B1036"/>
    <mergeCell ref="J1035:J1036"/>
    <mergeCell ref="D1066:G1066"/>
    <mergeCell ref="C1058:D1058"/>
    <mergeCell ref="A1032:F1032"/>
    <mergeCell ref="I1035:I1036"/>
    <mergeCell ref="F1035:F1036"/>
    <mergeCell ref="C1021:C1022"/>
    <mergeCell ref="E1021:E1022"/>
    <mergeCell ref="G1052:H1052"/>
    <mergeCell ref="A1118:J1118"/>
    <mergeCell ref="A1083:C1083"/>
    <mergeCell ref="G1058:H1058"/>
    <mergeCell ref="E1057:F1057"/>
    <mergeCell ref="G1057:H1057"/>
    <mergeCell ref="I1056:J1056"/>
    <mergeCell ref="E1055:F1055"/>
    <mergeCell ref="I1054:J1054"/>
    <mergeCell ref="E1054:F1054"/>
    <mergeCell ref="A1116:J1116"/>
    <mergeCell ref="A1117:J1117"/>
    <mergeCell ref="E1059:F1059"/>
    <mergeCell ref="I1057:J1057"/>
    <mergeCell ref="A1123:J1128"/>
    <mergeCell ref="I1051:J1051"/>
    <mergeCell ref="A1121:J1121"/>
    <mergeCell ref="A1362:J1364"/>
    <mergeCell ref="A1351:J1360"/>
    <mergeCell ref="D1333:G1333"/>
    <mergeCell ref="A1332:J1332"/>
    <mergeCell ref="A1335:J1335"/>
    <mergeCell ref="D1334:G1334"/>
    <mergeCell ref="A1338:J1342"/>
    <mergeCell ref="A1344:J1349"/>
    <mergeCell ref="A1224:J1224"/>
    <mergeCell ref="A1178:J1179"/>
    <mergeCell ref="A1176:J1176"/>
    <mergeCell ref="A1173:J1173"/>
    <mergeCell ref="C1187:I1191"/>
    <mergeCell ref="A1225:J1225"/>
    <mergeCell ref="A1172:J1172"/>
    <mergeCell ref="G1293:H1293"/>
    <mergeCell ref="G1284:H1284"/>
    <mergeCell ref="G1326:H1326"/>
    <mergeCell ref="G1304:H1304"/>
    <mergeCell ref="F1303:I1303"/>
    <mergeCell ref="C1217:I1221"/>
    <mergeCell ref="C1197:I1201"/>
    <mergeCell ref="D1174:G1174"/>
    <mergeCell ref="D1175:G1175"/>
    <mergeCell ref="C1182:I1186"/>
    <mergeCell ref="A1277:J1277"/>
    <mergeCell ref="D1228:G1228"/>
    <mergeCell ref="D1227:G1227"/>
    <mergeCell ref="A1229:J1229"/>
    <mergeCell ref="C1247:I1251"/>
    <mergeCell ref="C1262:I1266"/>
    <mergeCell ref="C1232:I1236"/>
    <mergeCell ref="C1192:I1196"/>
    <mergeCell ref="A1278:J1278"/>
    <mergeCell ref="C1271:I1274"/>
    <mergeCell ref="C1237:I1241"/>
    <mergeCell ref="C1242:I1246"/>
    <mergeCell ref="G1316:H1316"/>
    <mergeCell ref="G1308:H1308"/>
    <mergeCell ref="G1305:H1305"/>
    <mergeCell ref="G1295:H1295"/>
    <mergeCell ref="G1298:H1298"/>
    <mergeCell ref="C1257:I1261"/>
    <mergeCell ref="C1252:I1256"/>
    <mergeCell ref="C1267:I1270"/>
    <mergeCell ref="A1226:J1226"/>
    <mergeCell ref="G1313:H1313"/>
    <mergeCell ref="G1299:H1299"/>
    <mergeCell ref="G1309:H1309"/>
    <mergeCell ref="F1307:I1307"/>
    <mergeCell ref="F1311:I1311"/>
    <mergeCell ref="A1272:B1272"/>
    <mergeCell ref="A1268:B1268"/>
    <mergeCell ref="A1273:B1273"/>
    <mergeCell ref="D1281:G1281"/>
    <mergeCell ref="G1300:H1300"/>
    <mergeCell ref="A1279:J1279"/>
    <mergeCell ref="A1282:J1282"/>
    <mergeCell ref="D1280:G1280"/>
    <mergeCell ref="G1312:H1312"/>
    <mergeCell ref="I1436:J1437"/>
    <mergeCell ref="A1383:J1383"/>
    <mergeCell ref="A1382:J1382"/>
    <mergeCell ref="A1380:J1380"/>
    <mergeCell ref="A1387:J1387"/>
    <mergeCell ref="D1410:E1410"/>
    <mergeCell ref="D1412:E1412"/>
    <mergeCell ref="G1422:I1422"/>
    <mergeCell ref="I1389:J1389"/>
    <mergeCell ref="D1390:E1390"/>
    <mergeCell ref="D1389:E1389"/>
    <mergeCell ref="G1289:H1289"/>
    <mergeCell ref="G1288:H1288"/>
    <mergeCell ref="G1287:H1287"/>
    <mergeCell ref="G1290:H1290"/>
    <mergeCell ref="G1285:H1285"/>
    <mergeCell ref="A1269:B1269"/>
    <mergeCell ref="A1331:J1331"/>
    <mergeCell ref="A1384:J1384"/>
    <mergeCell ref="D1386:G1386"/>
    <mergeCell ref="D1385:G1385"/>
    <mergeCell ref="A1373:J1373"/>
    <mergeCell ref="B1376:I1376"/>
    <mergeCell ref="B1379:I1379"/>
    <mergeCell ref="A1377:J1377"/>
    <mergeCell ref="B1369:I1369"/>
    <mergeCell ref="A1370:J1370"/>
    <mergeCell ref="B1372:I1372"/>
    <mergeCell ref="I1367:J1367"/>
    <mergeCell ref="A1367:H1367"/>
    <mergeCell ref="A1330:J1330"/>
    <mergeCell ref="F1389:H1389"/>
    <mergeCell ref="D1120:G1120"/>
    <mergeCell ref="D1119:G1119"/>
    <mergeCell ref="A1096:A1098"/>
    <mergeCell ref="B1096:B1098"/>
    <mergeCell ref="C1096:C1098"/>
    <mergeCell ref="D1096:D1098"/>
    <mergeCell ref="E1096:E1098"/>
    <mergeCell ref="F1096:F1098"/>
    <mergeCell ref="G1055:H1055"/>
    <mergeCell ref="G1054:H1054"/>
    <mergeCell ref="I1055:J1055"/>
    <mergeCell ref="G1096:G1098"/>
    <mergeCell ref="I1096:I1098"/>
    <mergeCell ref="A1071:C1071"/>
    <mergeCell ref="I1053:J1053"/>
    <mergeCell ref="E1053:F1053"/>
    <mergeCell ref="I1052:J1052"/>
    <mergeCell ref="D1071:J1071"/>
    <mergeCell ref="I1058:J1058"/>
    <mergeCell ref="E1058:F1058"/>
    <mergeCell ref="A1105:J1105"/>
    <mergeCell ref="B1107:B1109"/>
    <mergeCell ref="C1107:C1109"/>
    <mergeCell ref="D1083:J1083"/>
    <mergeCell ref="D1107:J1107"/>
    <mergeCell ref="A1063:J1063"/>
    <mergeCell ref="G1059:H1059"/>
    <mergeCell ref="A1064:J1064"/>
    <mergeCell ref="A1065:J1065"/>
    <mergeCell ref="G1053:H1053"/>
    <mergeCell ref="G1056:H1056"/>
    <mergeCell ref="D1067:G1067"/>
    <mergeCell ref="G786:H786"/>
    <mergeCell ref="E880:F880"/>
    <mergeCell ref="A922:C922"/>
    <mergeCell ref="E978:I978"/>
    <mergeCell ref="G835:H835"/>
    <mergeCell ref="A913:C913"/>
    <mergeCell ref="D919:E919"/>
    <mergeCell ref="D920:E920"/>
    <mergeCell ref="A917:C917"/>
    <mergeCell ref="D917:E917"/>
    <mergeCell ref="I939:J939"/>
    <mergeCell ref="G855:J855"/>
    <mergeCell ref="I844:J844"/>
    <mergeCell ref="A848:J848"/>
    <mergeCell ref="G836:H836"/>
    <mergeCell ref="I914:J914"/>
    <mergeCell ref="D923:E923"/>
    <mergeCell ref="G930:H930"/>
    <mergeCell ref="G876:J876"/>
    <mergeCell ref="I836:J836"/>
    <mergeCell ref="D912:E912"/>
    <mergeCell ref="G875:J875"/>
    <mergeCell ref="G874:J874"/>
    <mergeCell ref="G870:J870"/>
    <mergeCell ref="G871:J871"/>
    <mergeCell ref="G872:J872"/>
    <mergeCell ref="A859:D859"/>
    <mergeCell ref="G866:J866"/>
    <mergeCell ref="A891:D891"/>
    <mergeCell ref="E890:F890"/>
    <mergeCell ref="G891:J891"/>
    <mergeCell ref="G892:J892"/>
    <mergeCell ref="C387:D387"/>
    <mergeCell ref="G387:H387"/>
    <mergeCell ref="C397:F397"/>
    <mergeCell ref="F400:I400"/>
    <mergeCell ref="D377:G377"/>
    <mergeCell ref="C388:E388"/>
    <mergeCell ref="G880:J880"/>
    <mergeCell ref="G782:H782"/>
    <mergeCell ref="G783:H783"/>
    <mergeCell ref="D802:G802"/>
    <mergeCell ref="C797:E797"/>
    <mergeCell ref="G815:H815"/>
    <mergeCell ref="G814:H814"/>
    <mergeCell ref="D801:G801"/>
    <mergeCell ref="G808:H808"/>
    <mergeCell ref="G810:H810"/>
    <mergeCell ref="G796:H796"/>
    <mergeCell ref="G794:H794"/>
    <mergeCell ref="G787:H787"/>
    <mergeCell ref="G793:H793"/>
    <mergeCell ref="A870:D870"/>
    <mergeCell ref="E861:F861"/>
    <mergeCell ref="E865:F865"/>
    <mergeCell ref="I863:J863"/>
    <mergeCell ref="D459:J459"/>
    <mergeCell ref="D537:G537"/>
    <mergeCell ref="G715:H715"/>
    <mergeCell ref="E866:F866"/>
    <mergeCell ref="A860:D860"/>
    <mergeCell ref="A866:D866"/>
    <mergeCell ref="A874:D874"/>
    <mergeCell ref="A875:D875"/>
    <mergeCell ref="G809:H809"/>
    <mergeCell ref="A800:J800"/>
    <mergeCell ref="G838:H838"/>
    <mergeCell ref="G842:H842"/>
    <mergeCell ref="J1021:J1022"/>
    <mergeCell ref="A1013:J1013"/>
    <mergeCell ref="I937:J937"/>
    <mergeCell ref="I913:J913"/>
    <mergeCell ref="A896:D896"/>
    <mergeCell ref="A909:C910"/>
    <mergeCell ref="A902:J902"/>
    <mergeCell ref="G909:G910"/>
    <mergeCell ref="A997:J997"/>
    <mergeCell ref="A898:J899"/>
    <mergeCell ref="F973:G973"/>
    <mergeCell ref="A1016:C1016"/>
    <mergeCell ref="C1000:C1001"/>
    <mergeCell ref="A1009:J1009"/>
    <mergeCell ref="A1008:J1008"/>
    <mergeCell ref="D947:F947"/>
    <mergeCell ref="D926:E926"/>
    <mergeCell ref="I912:J912"/>
    <mergeCell ref="A912:C912"/>
    <mergeCell ref="D975:E975"/>
    <mergeCell ref="F974:G974"/>
    <mergeCell ref="D974:E974"/>
    <mergeCell ref="D957:G957"/>
    <mergeCell ref="A856:D856"/>
    <mergeCell ref="E859:F859"/>
    <mergeCell ref="E856:F856"/>
    <mergeCell ref="E855:F855"/>
    <mergeCell ref="G859:J859"/>
    <mergeCell ref="A872:D872"/>
    <mergeCell ref="A852:J852"/>
    <mergeCell ref="G867:J867"/>
    <mergeCell ref="E874:F874"/>
    <mergeCell ref="A868:D868"/>
    <mergeCell ref="G821:H821"/>
    <mergeCell ref="E879:F879"/>
    <mergeCell ref="E871:F871"/>
    <mergeCell ref="E875:F875"/>
    <mergeCell ref="G868:J868"/>
    <mergeCell ref="G860:J860"/>
    <mergeCell ref="G839:H839"/>
    <mergeCell ref="G841:H841"/>
    <mergeCell ref="G831:H831"/>
    <mergeCell ref="E858:F858"/>
    <mergeCell ref="G857:J857"/>
    <mergeCell ref="C821:E821"/>
    <mergeCell ref="G827:H827"/>
    <mergeCell ref="G865:J865"/>
    <mergeCell ref="G879:J879"/>
    <mergeCell ref="A867:D867"/>
    <mergeCell ref="G825:H825"/>
    <mergeCell ref="G823:H823"/>
    <mergeCell ref="C829:E829"/>
    <mergeCell ref="G828:H828"/>
    <mergeCell ref="G858:J858"/>
    <mergeCell ref="E857:F857"/>
    <mergeCell ref="I821:J821"/>
    <mergeCell ref="C828:E828"/>
    <mergeCell ref="A857:D857"/>
    <mergeCell ref="A858:D858"/>
    <mergeCell ref="G832:H832"/>
    <mergeCell ref="G770:H770"/>
    <mergeCell ref="G807:H807"/>
    <mergeCell ref="G805:J805"/>
    <mergeCell ref="G779:H779"/>
    <mergeCell ref="I784:J784"/>
    <mergeCell ref="G795:H795"/>
    <mergeCell ref="A803:J803"/>
    <mergeCell ref="G834:H834"/>
    <mergeCell ref="G833:H833"/>
    <mergeCell ref="G818:H818"/>
    <mergeCell ref="G824:H824"/>
    <mergeCell ref="G829:H829"/>
    <mergeCell ref="G813:H813"/>
    <mergeCell ref="G797:H797"/>
    <mergeCell ref="G816:H816"/>
    <mergeCell ref="G771:H771"/>
    <mergeCell ref="G772:H772"/>
    <mergeCell ref="C790:E790"/>
    <mergeCell ref="G788:H788"/>
    <mergeCell ref="C820:E820"/>
    <mergeCell ref="G773:H773"/>
    <mergeCell ref="G774:H774"/>
    <mergeCell ref="G790:H790"/>
    <mergeCell ref="C789:E789"/>
    <mergeCell ref="G789:H789"/>
    <mergeCell ref="C796:E796"/>
    <mergeCell ref="G819:H819"/>
    <mergeCell ref="G817:H817"/>
    <mergeCell ref="G792:H792"/>
    <mergeCell ref="I797:J797"/>
    <mergeCell ref="I790:J790"/>
    <mergeCell ref="G718:H718"/>
    <mergeCell ref="G717:H717"/>
    <mergeCell ref="G716:H716"/>
    <mergeCell ref="I731:J731"/>
    <mergeCell ref="G733:H733"/>
    <mergeCell ref="G734:H734"/>
    <mergeCell ref="A745:J745"/>
    <mergeCell ref="A746:J746"/>
    <mergeCell ref="A749:J749"/>
    <mergeCell ref="D748:G748"/>
    <mergeCell ref="G736:H736"/>
    <mergeCell ref="G775:H775"/>
    <mergeCell ref="G777:H777"/>
    <mergeCell ref="G780:H780"/>
    <mergeCell ref="G784:H784"/>
    <mergeCell ref="G767:H767"/>
    <mergeCell ref="A756:F756"/>
    <mergeCell ref="C768:E768"/>
    <mergeCell ref="I768:J768"/>
    <mergeCell ref="G768:H768"/>
    <mergeCell ref="G674:H674"/>
    <mergeCell ref="G764:H764"/>
    <mergeCell ref="G702:H702"/>
    <mergeCell ref="I738:J738"/>
    <mergeCell ref="G725:H725"/>
    <mergeCell ref="G727:H727"/>
    <mergeCell ref="G728:H728"/>
    <mergeCell ref="G735:H735"/>
    <mergeCell ref="G729:H729"/>
    <mergeCell ref="G726:H726"/>
    <mergeCell ref="G737:H737"/>
    <mergeCell ref="G740:H740"/>
    <mergeCell ref="G765:H765"/>
    <mergeCell ref="G660:H660"/>
    <mergeCell ref="G661:H661"/>
    <mergeCell ref="G766:H766"/>
    <mergeCell ref="G730:H730"/>
    <mergeCell ref="G679:H679"/>
    <mergeCell ref="G682:H682"/>
    <mergeCell ref="G754:H754"/>
    <mergeCell ref="G678:H678"/>
    <mergeCell ref="D747:G747"/>
    <mergeCell ref="I743:J743"/>
    <mergeCell ref="G742:H742"/>
    <mergeCell ref="G741:H741"/>
    <mergeCell ref="A744:J744"/>
    <mergeCell ref="G755:H755"/>
    <mergeCell ref="G751:J751"/>
    <mergeCell ref="G763:H763"/>
    <mergeCell ref="G753:H753"/>
    <mergeCell ref="G762:H762"/>
    <mergeCell ref="G760:J760"/>
    <mergeCell ref="I713:J713"/>
    <mergeCell ref="I719:J719"/>
    <mergeCell ref="G607:H607"/>
    <mergeCell ref="G608:H608"/>
    <mergeCell ref="G631:H631"/>
    <mergeCell ref="A693:J693"/>
    <mergeCell ref="G629:H629"/>
    <mergeCell ref="G632:H632"/>
    <mergeCell ref="G659:H659"/>
    <mergeCell ref="G656:H656"/>
    <mergeCell ref="G653:H653"/>
    <mergeCell ref="I654:J654"/>
    <mergeCell ref="G681:H681"/>
    <mergeCell ref="G686:H686"/>
    <mergeCell ref="F761:J761"/>
    <mergeCell ref="I756:J756"/>
    <mergeCell ref="G712:H712"/>
    <mergeCell ref="G710:H710"/>
    <mergeCell ref="G673:H673"/>
    <mergeCell ref="G706:H706"/>
    <mergeCell ref="G721:H721"/>
    <mergeCell ref="G722:H722"/>
    <mergeCell ref="G711:H711"/>
    <mergeCell ref="A758:J758"/>
    <mergeCell ref="I664:J664"/>
    <mergeCell ref="G657:H657"/>
    <mergeCell ref="G658:H658"/>
    <mergeCell ref="G650:H650"/>
    <mergeCell ref="G651:H651"/>
    <mergeCell ref="G617:H617"/>
    <mergeCell ref="G611:H611"/>
    <mergeCell ref="G616:H616"/>
    <mergeCell ref="A578:J584"/>
    <mergeCell ref="E568:F568"/>
    <mergeCell ref="H568:I568"/>
    <mergeCell ref="G573:I573"/>
    <mergeCell ref="H569:I569"/>
    <mergeCell ref="H557:I557"/>
    <mergeCell ref="A588:J588"/>
    <mergeCell ref="A589:J589"/>
    <mergeCell ref="A592:J592"/>
    <mergeCell ref="D590:G590"/>
    <mergeCell ref="E565:F565"/>
    <mergeCell ref="E567:F567"/>
    <mergeCell ref="E566:F566"/>
    <mergeCell ref="E564:F564"/>
    <mergeCell ref="D591:G591"/>
    <mergeCell ref="G595:J595"/>
    <mergeCell ref="G594:I594"/>
    <mergeCell ref="E569:F569"/>
    <mergeCell ref="H567:I567"/>
    <mergeCell ref="H566:I566"/>
    <mergeCell ref="A559:D559"/>
    <mergeCell ref="A301:D301"/>
    <mergeCell ref="F303:G303"/>
    <mergeCell ref="G307:H307"/>
    <mergeCell ref="E313:F313"/>
    <mergeCell ref="B458:I458"/>
    <mergeCell ref="B459:C459"/>
    <mergeCell ref="H490:J490"/>
    <mergeCell ref="D376:G376"/>
    <mergeCell ref="A373:J373"/>
    <mergeCell ref="A374:J374"/>
    <mergeCell ref="A375:J375"/>
    <mergeCell ref="G396:J396"/>
    <mergeCell ref="E382:I382"/>
    <mergeCell ref="C383:E383"/>
    <mergeCell ref="E314:F314"/>
    <mergeCell ref="I316:J316"/>
    <mergeCell ref="G314:H314"/>
    <mergeCell ref="G315:H315"/>
    <mergeCell ref="G316:H316"/>
    <mergeCell ref="I314:J314"/>
    <mergeCell ref="I315:J315"/>
    <mergeCell ref="B450:J450"/>
    <mergeCell ref="E463:F463"/>
    <mergeCell ref="E464:F464"/>
    <mergeCell ref="H444:J444"/>
    <mergeCell ref="C421:D421"/>
    <mergeCell ref="C422:D422"/>
    <mergeCell ref="H386:J386"/>
    <mergeCell ref="E380:I380"/>
    <mergeCell ref="C396:E396"/>
    <mergeCell ref="D322:G322"/>
    <mergeCell ref="I317:J317"/>
    <mergeCell ref="C399:D399"/>
    <mergeCell ref="G398:I398"/>
    <mergeCell ref="G309:H309"/>
    <mergeCell ref="I385:J385"/>
    <mergeCell ref="I312:J312"/>
    <mergeCell ref="I313:J313"/>
    <mergeCell ref="G311:H311"/>
    <mergeCell ref="G312:H312"/>
    <mergeCell ref="A339:J340"/>
    <mergeCell ref="A342:J346"/>
    <mergeCell ref="H447:J447"/>
    <mergeCell ref="A309:D309"/>
    <mergeCell ref="G310:H310"/>
    <mergeCell ref="E310:F310"/>
    <mergeCell ref="F302:G302"/>
    <mergeCell ref="A311:D311"/>
    <mergeCell ref="A312:D312"/>
    <mergeCell ref="D386:F386"/>
    <mergeCell ref="C404:F404"/>
    <mergeCell ref="C405:F405"/>
    <mergeCell ref="G313:H313"/>
    <mergeCell ref="E311:F311"/>
    <mergeCell ref="G317:H317"/>
    <mergeCell ref="A364:J366"/>
    <mergeCell ref="A319:J319"/>
    <mergeCell ref="A320:J320"/>
    <mergeCell ref="E317:F317"/>
    <mergeCell ref="A392:J392"/>
    <mergeCell ref="D431:G431"/>
    <mergeCell ref="C327:J327"/>
    <mergeCell ref="A324:J324"/>
    <mergeCell ref="H362:J362"/>
    <mergeCell ref="A9:J9"/>
    <mergeCell ref="A10:J10"/>
    <mergeCell ref="A11:J11"/>
    <mergeCell ref="D13:G13"/>
    <mergeCell ref="D15:G15"/>
    <mergeCell ref="D17:G17"/>
    <mergeCell ref="A270:J270"/>
    <mergeCell ref="A84:A86"/>
    <mergeCell ref="A61:J63"/>
    <mergeCell ref="A65:J66"/>
    <mergeCell ref="A68:J74"/>
    <mergeCell ref="A76:J81"/>
    <mergeCell ref="D111:G111"/>
    <mergeCell ref="D214:G214"/>
    <mergeCell ref="D191:J192"/>
    <mergeCell ref="C50:H50"/>
    <mergeCell ref="A44:J45"/>
    <mergeCell ref="D57:G57"/>
    <mergeCell ref="A31:J35"/>
    <mergeCell ref="A30:J30"/>
    <mergeCell ref="A24:J28"/>
    <mergeCell ref="A55:J55"/>
    <mergeCell ref="C90:I90"/>
    <mergeCell ref="A151:J151"/>
    <mergeCell ref="D19:G19"/>
    <mergeCell ref="A22:J22"/>
    <mergeCell ref="A36:J42"/>
    <mergeCell ref="D84:J86"/>
    <mergeCell ref="A114:J117"/>
    <mergeCell ref="A125:J128"/>
    <mergeCell ref="A130:J135"/>
    <mergeCell ref="A102:J103"/>
    <mergeCell ref="C16:H16"/>
    <mergeCell ref="D18:G18"/>
    <mergeCell ref="C20:H20"/>
    <mergeCell ref="D58:G58"/>
    <mergeCell ref="A59:J59"/>
    <mergeCell ref="D52:G52"/>
    <mergeCell ref="D49:G49"/>
    <mergeCell ref="A56:J56"/>
    <mergeCell ref="D51:G51"/>
    <mergeCell ref="D180:J181"/>
    <mergeCell ref="A109:J109"/>
    <mergeCell ref="A110:J110"/>
    <mergeCell ref="D88:G88"/>
    <mergeCell ref="A113:J113"/>
    <mergeCell ref="A119:J123"/>
    <mergeCell ref="A95:J96"/>
    <mergeCell ref="A54:J54"/>
    <mergeCell ref="A163:J163"/>
    <mergeCell ref="A266:J266"/>
    <mergeCell ref="B229:F229"/>
    <mergeCell ref="A172:A173"/>
    <mergeCell ref="A178:A179"/>
    <mergeCell ref="A180:A181"/>
    <mergeCell ref="A165:J165"/>
    <mergeCell ref="A166:J166"/>
    <mergeCell ref="D168:J171"/>
    <mergeCell ref="A168:A169"/>
    <mergeCell ref="D178:J179"/>
    <mergeCell ref="B100:E100"/>
    <mergeCell ref="A137:J143"/>
    <mergeCell ref="A145:J149"/>
    <mergeCell ref="D47:G47"/>
    <mergeCell ref="D48:G48"/>
    <mergeCell ref="B98:J99"/>
    <mergeCell ref="G285:I285"/>
    <mergeCell ref="B231:F231"/>
    <mergeCell ref="B233:D233"/>
    <mergeCell ref="A222:J222"/>
    <mergeCell ref="G235:H235"/>
    <mergeCell ref="A212:J212"/>
    <mergeCell ref="D268:G268"/>
    <mergeCell ref="A105:J106"/>
    <mergeCell ref="D112:G112"/>
    <mergeCell ref="A108:J108"/>
    <mergeCell ref="A156:J156"/>
    <mergeCell ref="D162:G162"/>
    <mergeCell ref="C291:I291"/>
    <mergeCell ref="C226:D226"/>
    <mergeCell ref="B235:C235"/>
    <mergeCell ref="E261:H261"/>
    <mergeCell ref="A191:A192"/>
    <mergeCell ref="A158:J158"/>
    <mergeCell ref="A159:J159"/>
    <mergeCell ref="A160:J160"/>
    <mergeCell ref="D161:G161"/>
    <mergeCell ref="A152:J153"/>
    <mergeCell ref="A154:J155"/>
    <mergeCell ref="D269:G269"/>
    <mergeCell ref="A182:A183"/>
    <mergeCell ref="A184:A186"/>
    <mergeCell ref="D247:H247"/>
    <mergeCell ref="D245:H245"/>
    <mergeCell ref="D243:H243"/>
    <mergeCell ref="H275:J275"/>
    <mergeCell ref="C277:I277"/>
    <mergeCell ref="B275:E275"/>
    <mergeCell ref="C289:I289"/>
    <mergeCell ref="D203:J204"/>
    <mergeCell ref="E249:H249"/>
    <mergeCell ref="C257:F257"/>
    <mergeCell ref="D259:E259"/>
    <mergeCell ref="A267:J267"/>
    <mergeCell ref="E251:H251"/>
    <mergeCell ref="A265:J265"/>
    <mergeCell ref="D199:J200"/>
    <mergeCell ref="A213:J213"/>
    <mergeCell ref="A193:A194"/>
    <mergeCell ref="A196:A197"/>
    <mergeCell ref="C295:E295"/>
    <mergeCell ref="C297:E297"/>
    <mergeCell ref="C333:J333"/>
    <mergeCell ref="C334:J334"/>
    <mergeCell ref="E309:F309"/>
    <mergeCell ref="I309:J309"/>
    <mergeCell ref="I311:J311"/>
    <mergeCell ref="G464:I464"/>
    <mergeCell ref="E381:I381"/>
    <mergeCell ref="H383:I383"/>
    <mergeCell ref="H384:J384"/>
    <mergeCell ref="A895:D895"/>
    <mergeCell ref="G895:J895"/>
    <mergeCell ref="E895:F895"/>
    <mergeCell ref="G776:H776"/>
    <mergeCell ref="D850:G850"/>
    <mergeCell ref="C842:E842"/>
    <mergeCell ref="A798:J798"/>
    <mergeCell ref="A799:J799"/>
    <mergeCell ref="I829:J829"/>
    <mergeCell ref="I811:J811"/>
    <mergeCell ref="C836:E836"/>
    <mergeCell ref="A871:D871"/>
    <mergeCell ref="A880:D880"/>
    <mergeCell ref="E870:F870"/>
    <mergeCell ref="A849:J849"/>
    <mergeCell ref="G840:H840"/>
    <mergeCell ref="F301:G301"/>
    <mergeCell ref="C403:F403"/>
    <mergeCell ref="C384:E384"/>
    <mergeCell ref="C385:E385"/>
    <mergeCell ref="G399:I399"/>
    <mergeCell ref="E881:F881"/>
    <mergeCell ref="A894:D894"/>
    <mergeCell ref="A847:J847"/>
    <mergeCell ref="E891:F891"/>
    <mergeCell ref="A890:D890"/>
    <mergeCell ref="G781:H781"/>
    <mergeCell ref="G778:H778"/>
    <mergeCell ref="A876:D876"/>
    <mergeCell ref="D182:J183"/>
    <mergeCell ref="D184:J187"/>
    <mergeCell ref="A211:J211"/>
    <mergeCell ref="D188:J190"/>
    <mergeCell ref="D196:J198"/>
    <mergeCell ref="G297:I297"/>
    <mergeCell ref="I307:J307"/>
    <mergeCell ref="G308:H308"/>
    <mergeCell ref="I308:J308"/>
    <mergeCell ref="E308:F308"/>
    <mergeCell ref="A308:D308"/>
    <mergeCell ref="D220:E220"/>
    <mergeCell ref="C224:D224"/>
    <mergeCell ref="D219:E219"/>
    <mergeCell ref="A188:A190"/>
    <mergeCell ref="A216:J216"/>
    <mergeCell ref="A199:A200"/>
    <mergeCell ref="D193:J195"/>
    <mergeCell ref="A203:A204"/>
    <mergeCell ref="A201:A202"/>
    <mergeCell ref="D201:J202"/>
    <mergeCell ref="H295:J295"/>
    <mergeCell ref="G293:H293"/>
    <mergeCell ref="E316:F316"/>
    <mergeCell ref="I419:J419"/>
    <mergeCell ref="D414:J414"/>
    <mergeCell ref="D430:G430"/>
    <mergeCell ref="D851:G851"/>
    <mergeCell ref="I842:J842"/>
    <mergeCell ref="A550:D550"/>
    <mergeCell ref="A470:J470"/>
    <mergeCell ref="A560:D560"/>
    <mergeCell ref="A561:D561"/>
    <mergeCell ref="A562:D562"/>
    <mergeCell ref="A555:D555"/>
    <mergeCell ref="A556:D556"/>
    <mergeCell ref="A557:D557"/>
    <mergeCell ref="G666:H666"/>
    <mergeCell ref="D644:G644"/>
    <mergeCell ref="G626:H626"/>
    <mergeCell ref="I627:J627"/>
    <mergeCell ref="G630:H630"/>
    <mergeCell ref="G601:H601"/>
    <mergeCell ref="G603:H603"/>
    <mergeCell ref="G637:H637"/>
    <mergeCell ref="G663:H663"/>
    <mergeCell ref="G668:H668"/>
    <mergeCell ref="G667:H667"/>
    <mergeCell ref="A642:J642"/>
    <mergeCell ref="A643:J643"/>
    <mergeCell ref="A646:J646"/>
    <mergeCell ref="B653:E653"/>
    <mergeCell ref="D645:G645"/>
    <mergeCell ref="H554:I554"/>
    <mergeCell ref="H556:I556"/>
    <mergeCell ref="G597:H597"/>
    <mergeCell ref="A461:J461"/>
    <mergeCell ref="B448:J448"/>
    <mergeCell ref="A427:J427"/>
    <mergeCell ref="A428:J428"/>
    <mergeCell ref="A432:J432"/>
    <mergeCell ref="H449:J449"/>
    <mergeCell ref="A368:J371"/>
    <mergeCell ref="A424:J425"/>
    <mergeCell ref="A302:D302"/>
    <mergeCell ref="A303:D303"/>
    <mergeCell ref="C330:J330"/>
    <mergeCell ref="D215:G215"/>
    <mergeCell ref="D218:E218"/>
    <mergeCell ref="I236:J236"/>
    <mergeCell ref="I226:J226"/>
    <mergeCell ref="E226:H226"/>
    <mergeCell ref="C283:E283"/>
    <mergeCell ref="C279:E279"/>
    <mergeCell ref="C281:E281"/>
    <mergeCell ref="G279:H279"/>
    <mergeCell ref="G281:J281"/>
    <mergeCell ref="C273:D273"/>
    <mergeCell ref="G283:I283"/>
    <mergeCell ref="C285:E285"/>
    <mergeCell ref="A310:D310"/>
    <mergeCell ref="A317:D317"/>
    <mergeCell ref="I310:J310"/>
    <mergeCell ref="E312:F312"/>
    <mergeCell ref="C293:E293"/>
    <mergeCell ref="E307:F307"/>
    <mergeCell ref="C331:J331"/>
    <mergeCell ref="C328:J328"/>
    <mergeCell ref="A882:D882"/>
    <mergeCell ref="A886:D886"/>
    <mergeCell ref="A887:D887"/>
    <mergeCell ref="G885:J885"/>
    <mergeCell ref="G890:J890"/>
    <mergeCell ref="G620:H620"/>
    <mergeCell ref="B633:E633"/>
    <mergeCell ref="G648:J648"/>
    <mergeCell ref="A558:D558"/>
    <mergeCell ref="E555:F555"/>
    <mergeCell ref="A536:J536"/>
    <mergeCell ref="A539:J539"/>
    <mergeCell ref="D538:G538"/>
    <mergeCell ref="G662:H662"/>
    <mergeCell ref="B662:E662"/>
    <mergeCell ref="B663:E663"/>
    <mergeCell ref="I675:J675"/>
    <mergeCell ref="B639:E639"/>
    <mergeCell ref="A641:J641"/>
    <mergeCell ref="I640:J640"/>
    <mergeCell ref="G639:H639"/>
    <mergeCell ref="G652:H652"/>
    <mergeCell ref="G677:H677"/>
    <mergeCell ref="G670:H670"/>
    <mergeCell ref="G671:H671"/>
    <mergeCell ref="G672:H672"/>
    <mergeCell ref="G669:H669"/>
    <mergeCell ref="G705:H705"/>
    <mergeCell ref="E867:F867"/>
    <mergeCell ref="E860:F860"/>
    <mergeCell ref="G856:J856"/>
    <mergeCell ref="B690:E690"/>
    <mergeCell ref="A521:J525"/>
    <mergeCell ref="E465:F465"/>
    <mergeCell ref="A483:J483"/>
    <mergeCell ref="I473:J473"/>
    <mergeCell ref="I474:J474"/>
    <mergeCell ref="E466:F466"/>
    <mergeCell ref="D468:E468"/>
    <mergeCell ref="G465:I465"/>
    <mergeCell ref="H560:I560"/>
    <mergeCell ref="E559:F559"/>
    <mergeCell ref="H559:I559"/>
    <mergeCell ref="H561:I561"/>
    <mergeCell ref="E560:F560"/>
    <mergeCell ref="E562:F562"/>
    <mergeCell ref="H562:I562"/>
    <mergeCell ref="D504:E504"/>
    <mergeCell ref="D506:J506"/>
    <mergeCell ref="A551:D551"/>
    <mergeCell ref="A552:D552"/>
    <mergeCell ref="A528:J532"/>
    <mergeCell ref="I468:J468"/>
    <mergeCell ref="E478:F478"/>
    <mergeCell ref="D485:G485"/>
    <mergeCell ref="E475:F475"/>
    <mergeCell ref="H558:I558"/>
    <mergeCell ref="G467:I467"/>
    <mergeCell ref="E467:F467"/>
    <mergeCell ref="A378:J378"/>
    <mergeCell ref="B622:E622"/>
    <mergeCell ref="G615:H615"/>
    <mergeCell ref="G613:H613"/>
    <mergeCell ref="G614:H614"/>
    <mergeCell ref="G618:H618"/>
    <mergeCell ref="G619:H619"/>
    <mergeCell ref="B626:E626"/>
    <mergeCell ref="B638:E638"/>
    <mergeCell ref="G636:H636"/>
    <mergeCell ref="I634:J634"/>
    <mergeCell ref="A565:D565"/>
    <mergeCell ref="A566:D566"/>
    <mergeCell ref="H563:I563"/>
    <mergeCell ref="H565:I565"/>
    <mergeCell ref="E563:F563"/>
    <mergeCell ref="H570:I570"/>
    <mergeCell ref="G599:H599"/>
    <mergeCell ref="A587:J587"/>
    <mergeCell ref="B607:E607"/>
    <mergeCell ref="G604:H604"/>
    <mergeCell ref="G598:H598"/>
    <mergeCell ref="G600:H600"/>
    <mergeCell ref="G602:H602"/>
    <mergeCell ref="G633:H633"/>
    <mergeCell ref="I623:J623"/>
    <mergeCell ref="G625:H625"/>
    <mergeCell ref="G612:H612"/>
    <mergeCell ref="I609:J609"/>
    <mergeCell ref="G606:H606"/>
    <mergeCell ref="G621:H621"/>
    <mergeCell ref="G622:H622"/>
    <mergeCell ref="A692:J692"/>
    <mergeCell ref="G685:H685"/>
    <mergeCell ref="G680:H680"/>
    <mergeCell ref="G690:H690"/>
    <mergeCell ref="G689:H689"/>
    <mergeCell ref="I691:J691"/>
    <mergeCell ref="I683:J683"/>
    <mergeCell ref="G687:H687"/>
    <mergeCell ref="G688:H688"/>
    <mergeCell ref="G701:H701"/>
    <mergeCell ref="G699:J699"/>
    <mergeCell ref="A694:J694"/>
    <mergeCell ref="A697:J697"/>
    <mergeCell ref="D695:G695"/>
    <mergeCell ref="E1056:F1056"/>
    <mergeCell ref="I1059:J1059"/>
    <mergeCell ref="B928:C928"/>
    <mergeCell ref="G947:J947"/>
    <mergeCell ref="A923:C923"/>
    <mergeCell ref="B973:C973"/>
    <mergeCell ref="B975:C975"/>
    <mergeCell ref="E994:I994"/>
    <mergeCell ref="E1000:E1001"/>
    <mergeCell ref="F1000:F1001"/>
    <mergeCell ref="G1000:G1001"/>
    <mergeCell ref="E1016:H1016"/>
    <mergeCell ref="J1000:J1001"/>
    <mergeCell ref="I1000:I1001"/>
    <mergeCell ref="H1000:H1001"/>
    <mergeCell ref="E995:F995"/>
    <mergeCell ref="D1011:G1011"/>
    <mergeCell ref="A911:C911"/>
    <mergeCell ref="G1320:H1320"/>
    <mergeCell ref="B718:E718"/>
    <mergeCell ref="B722:E722"/>
    <mergeCell ref="B730:E730"/>
    <mergeCell ref="B737:E737"/>
    <mergeCell ref="B705:E705"/>
    <mergeCell ref="B706:E706"/>
    <mergeCell ref="D696:G696"/>
    <mergeCell ref="G704:H704"/>
    <mergeCell ref="A881:D881"/>
    <mergeCell ref="A888:D888"/>
    <mergeCell ref="G882:J882"/>
    <mergeCell ref="E886:F886"/>
    <mergeCell ref="E887:F887"/>
    <mergeCell ref="G886:J886"/>
    <mergeCell ref="G887:J887"/>
    <mergeCell ref="E885:F885"/>
    <mergeCell ref="G888:J888"/>
    <mergeCell ref="B712:E712"/>
    <mergeCell ref="B717:E717"/>
    <mergeCell ref="G709:H709"/>
    <mergeCell ref="G703:H703"/>
    <mergeCell ref="I707:J707"/>
    <mergeCell ref="D806:H806"/>
    <mergeCell ref="G811:H811"/>
    <mergeCell ref="G826:H826"/>
    <mergeCell ref="G820:H820"/>
    <mergeCell ref="I723:J723"/>
    <mergeCell ref="A892:D892"/>
    <mergeCell ref="G894:J894"/>
    <mergeCell ref="G896:J896"/>
    <mergeCell ref="A920:C920"/>
    <mergeCell ref="A1035:A1036"/>
    <mergeCell ref="A1021:A1022"/>
    <mergeCell ref="F1021:F1022"/>
    <mergeCell ref="B1021:B1022"/>
    <mergeCell ref="A1018:C1018"/>
    <mergeCell ref="A1019:C1019"/>
    <mergeCell ref="B981:C981"/>
    <mergeCell ref="B982:C982"/>
    <mergeCell ref="A1010:J1010"/>
    <mergeCell ref="I950:J950"/>
    <mergeCell ref="A934:J934"/>
    <mergeCell ref="E944:F944"/>
    <mergeCell ref="I911:J911"/>
    <mergeCell ref="D925:E925"/>
    <mergeCell ref="D1000:D1001"/>
    <mergeCell ref="A927:C927"/>
    <mergeCell ref="H972:I972"/>
    <mergeCell ref="E993:H993"/>
    <mergeCell ref="H973:I973"/>
    <mergeCell ref="D973:E973"/>
    <mergeCell ref="G943:J943"/>
    <mergeCell ref="D928:E928"/>
    <mergeCell ref="I1020:J1020"/>
    <mergeCell ref="G944:J944"/>
    <mergeCell ref="D939:E939"/>
    <mergeCell ref="D921:E921"/>
    <mergeCell ref="D922:E922"/>
    <mergeCell ref="F975:G975"/>
    <mergeCell ref="B983:C983"/>
    <mergeCell ref="B974:C974"/>
    <mergeCell ref="B980:C980"/>
    <mergeCell ref="G1322:H1322"/>
    <mergeCell ref="G1324:H1324"/>
    <mergeCell ref="G1318:H1318"/>
    <mergeCell ref="G1294:H1294"/>
    <mergeCell ref="A925:C925"/>
    <mergeCell ref="A926:C926"/>
    <mergeCell ref="A900:J900"/>
    <mergeCell ref="A901:J901"/>
    <mergeCell ref="D904:G904"/>
    <mergeCell ref="H909:H910"/>
    <mergeCell ref="F909:F910"/>
    <mergeCell ref="A905:J905"/>
    <mergeCell ref="I909:J910"/>
    <mergeCell ref="D909:E910"/>
    <mergeCell ref="G917:J929"/>
    <mergeCell ref="C1050:D1050"/>
    <mergeCell ref="C1051:D1051"/>
    <mergeCell ref="G1051:H1051"/>
    <mergeCell ref="C1212:I1216"/>
    <mergeCell ref="C1207:I1211"/>
    <mergeCell ref="A921:C921"/>
    <mergeCell ref="A939:C939"/>
    <mergeCell ref="E1030:F1030"/>
    <mergeCell ref="E1031:F1031"/>
    <mergeCell ref="C1057:D1057"/>
    <mergeCell ref="A932:E932"/>
    <mergeCell ref="A936:C936"/>
    <mergeCell ref="D972:E972"/>
    <mergeCell ref="B984:C984"/>
    <mergeCell ref="A958:J958"/>
    <mergeCell ref="H975:I975"/>
    <mergeCell ref="H974:I974"/>
    <mergeCell ref="A1131:J1136"/>
    <mergeCell ref="A1139:J1144"/>
    <mergeCell ref="C1202:I1206"/>
    <mergeCell ref="D913:E913"/>
    <mergeCell ref="A914:B914"/>
    <mergeCell ref="A919:C919"/>
    <mergeCell ref="A938:C938"/>
    <mergeCell ref="A951:J951"/>
    <mergeCell ref="B985:C985"/>
    <mergeCell ref="B986:C986"/>
    <mergeCell ref="D950:E950"/>
    <mergeCell ref="A937:C937"/>
    <mergeCell ref="B987:C987"/>
    <mergeCell ref="B988:C988"/>
    <mergeCell ref="A953:J953"/>
    <mergeCell ref="A954:J954"/>
    <mergeCell ref="A955:J955"/>
    <mergeCell ref="D956:G956"/>
    <mergeCell ref="F972:G972"/>
    <mergeCell ref="G1021:G1022"/>
    <mergeCell ref="A1048:J1048"/>
    <mergeCell ref="C1054:D1054"/>
    <mergeCell ref="C1055:D1055"/>
    <mergeCell ref="C1059:D1059"/>
    <mergeCell ref="C1056:D1056"/>
    <mergeCell ref="H1021:H1022"/>
    <mergeCell ref="E1051:F1051"/>
    <mergeCell ref="E1045:F1045"/>
    <mergeCell ref="A1046:F1046"/>
    <mergeCell ref="C1053:D1053"/>
    <mergeCell ref="D927:E927"/>
    <mergeCell ref="D940:E940"/>
    <mergeCell ref="B674:E674"/>
    <mergeCell ref="B682:E682"/>
    <mergeCell ref="E554:F554"/>
    <mergeCell ref="A534:J534"/>
    <mergeCell ref="H555:I555"/>
    <mergeCell ref="H549:I549"/>
    <mergeCell ref="A553:D553"/>
    <mergeCell ref="A554:D554"/>
    <mergeCell ref="A535:J535"/>
    <mergeCell ref="C490:E490"/>
    <mergeCell ref="E549:F549"/>
    <mergeCell ref="E553:F553"/>
    <mergeCell ref="H553:I553"/>
    <mergeCell ref="H552:I552"/>
    <mergeCell ref="H550:I550"/>
    <mergeCell ref="E551:F551"/>
    <mergeCell ref="H551:I551"/>
    <mergeCell ref="E550:F550"/>
    <mergeCell ref="C507:H507"/>
    <mergeCell ref="C508:E508"/>
    <mergeCell ref="A567:D567"/>
    <mergeCell ref="A568:D568"/>
    <mergeCell ref="A569:D569"/>
    <mergeCell ref="A563:D563"/>
    <mergeCell ref="A564:D564"/>
    <mergeCell ref="E552:F552"/>
    <mergeCell ref="E558:F558"/>
    <mergeCell ref="E557:F557"/>
    <mergeCell ref="G638:H638"/>
    <mergeCell ref="G605:H605"/>
    <mergeCell ref="B608:E608"/>
    <mergeCell ref="B621:E621"/>
    <mergeCell ref="A316:D316"/>
    <mergeCell ref="H564:I564"/>
    <mergeCell ref="E561:F561"/>
    <mergeCell ref="E315:F315"/>
    <mergeCell ref="C332:J332"/>
    <mergeCell ref="E556:F556"/>
    <mergeCell ref="A349:J351"/>
    <mergeCell ref="D355:J356"/>
    <mergeCell ref="G466:I466"/>
    <mergeCell ref="A313:D313"/>
    <mergeCell ref="D413:J413"/>
    <mergeCell ref="F401:I401"/>
    <mergeCell ref="I421:J421"/>
    <mergeCell ref="I422:J422"/>
    <mergeCell ref="A434:J442"/>
    <mergeCell ref="A429:J429"/>
    <mergeCell ref="G463:I463"/>
    <mergeCell ref="D353:J354"/>
    <mergeCell ref="D323:G323"/>
    <mergeCell ref="C329:J329"/>
    <mergeCell ref="A486:J486"/>
    <mergeCell ref="A481:J481"/>
    <mergeCell ref="A482:J482"/>
    <mergeCell ref="E479:F479"/>
    <mergeCell ref="D484:G484"/>
    <mergeCell ref="I476:J476"/>
    <mergeCell ref="E474:F474"/>
    <mergeCell ref="I477:J477"/>
    <mergeCell ref="I475:J475"/>
    <mergeCell ref="A314:D314"/>
    <mergeCell ref="A315:D315"/>
    <mergeCell ref="A321:J321"/>
  </mergeCells>
  <phoneticPr fontId="2" type="noConversion"/>
  <conditionalFormatting sqref="A1046:F1047">
    <cfRule type="cellIs" dxfId="36" priority="38" stopIfTrue="1" operator="equal">
      <formula>"&lt;&lt;PURCHASE PRICE(S) DO NOT COVER COSTS&gt;&gt;"</formula>
    </cfRule>
    <cfRule type="cellIs" dxfId="35" priority="39" stopIfTrue="1" operator="equal">
      <formula>"PURCHASE PRICE(S) COVERS ALL COSTS"</formula>
    </cfRule>
    <cfRule type="cellIs" dxfId="34" priority="40" stopIfTrue="1" operator="equal">
      <formula>"PURCHASE PRICE(S) EXCEED COSTS"</formula>
    </cfRule>
  </conditionalFormatting>
  <conditionalFormatting sqref="G941:J943">
    <cfRule type="cellIs" dxfId="33" priority="15" stopIfTrue="1" operator="equal">
      <formula>"&lt;&lt;DAVIS-BACON APPLICABLE&gt;&gt;"</formula>
    </cfRule>
    <cfRule type="cellIs" dxfId="32" priority="16" stopIfTrue="1" operator="equal">
      <formula>"DAVIS-BACON NOT APPLICABLE"</formula>
    </cfRule>
  </conditionalFormatting>
  <conditionalFormatting sqref="A951:J952">
    <cfRule type="cellIs" dxfId="31" priority="43" stopIfTrue="1" operator="equal">
      <formula>"&lt;&lt;REQUEST EXCEEDS ALLOWABLE SUBSIDY&gt;&gt;"</formula>
    </cfRule>
    <cfRule type="cellIs" dxfId="30" priority="44" stopIfTrue="1" operator="equal">
      <formula>"REQUEST AT OR BELOW ALLOWABLE SUBSIDY"</formula>
    </cfRule>
  </conditionalFormatting>
  <conditionalFormatting sqref="F932:G932">
    <cfRule type="cellIs" dxfId="29" priority="10" stopIfTrue="1" operator="equal">
      <formula>"&lt;&lt;PROJECT IS UNDERFUNDED&gt;&gt;"</formula>
    </cfRule>
    <cfRule type="cellIs" dxfId="28" priority="11" stopIfTrue="1" operator="equal">
      <formula>"&lt;&lt;PROJECT IS OVERFUNDED&gt;&gt;"</formula>
    </cfRule>
    <cfRule type="cellIs" dxfId="27" priority="12" stopIfTrue="1" operator="equal">
      <formula>"PROJECT FULLY FUNDED"</formula>
    </cfRule>
  </conditionalFormatting>
  <conditionalFormatting sqref="A915:G915">
    <cfRule type="cellIs" dxfId="26" priority="28" stopIfTrue="1" operator="equal">
      <formula>"&lt;&lt;REQUEST EXCEEDS ALLOCATION PLAN LIMIT&gt;&gt;"</formula>
    </cfRule>
    <cfRule type="cellIs" dxfId="25" priority="29" stopIfTrue="1" operator="equal">
      <formula>"REQUEST WITHIN LIMITS"</formula>
    </cfRule>
  </conditionalFormatting>
  <conditionalFormatting sqref="G931:H931">
    <cfRule type="cellIs" dxfId="24" priority="13" stopIfTrue="1" operator="lessThan">
      <formula>0</formula>
    </cfRule>
    <cfRule type="cellIs" dxfId="23" priority="14" stopIfTrue="1" operator="greaterThanOrEqual">
      <formula>0</formula>
    </cfRule>
  </conditionalFormatting>
  <conditionalFormatting sqref="A932:E932">
    <cfRule type="cellIs" dxfId="22" priority="52" stopIfTrue="1" operator="equal">
      <formula>"&lt;&lt;PROJECT IS UNDERFUNDED&gt;&gt;"</formula>
    </cfRule>
    <cfRule type="cellIs" dxfId="21" priority="53" stopIfTrue="1" operator="equal">
      <formula>"&lt;&lt;PROJECT IS UNDERFUNDED&gt;&gt;"</formula>
    </cfRule>
    <cfRule type="cellIs" dxfId="20" priority="54" stopIfTrue="1" operator="equal">
      <formula>"PROJECT FULLY FUNDED"</formula>
    </cfRule>
  </conditionalFormatting>
  <conditionalFormatting sqref="I585 I489 I491:I494 I511:I512 I514:I515 I518 B191 B193 B196 B199 B203 B201 B188 B172 B168 B178 B180 B182 B184 B84">
    <cfRule type="cellIs" dxfId="19" priority="21" stopIfTrue="1" operator="equal">
      <formula>"Yes"</formula>
    </cfRule>
    <cfRule type="cellIs" dxfId="18" priority="22" stopIfTrue="1" operator="equal">
      <formula>"No"</formula>
    </cfRule>
    <cfRule type="cellIs" dxfId="17" priority="23" stopIfTrue="1" operator="equal">
      <formula>"N/A"</formula>
    </cfRule>
  </conditionalFormatting>
  <conditionalFormatting sqref="D761:F761">
    <cfRule type="cellIs" dxfId="16" priority="19" stopIfTrue="1" operator="equal">
      <formula>"&lt;&lt;ACQUISITION FEE EXCEEDS LIMIT&gt;&gt;"</formula>
    </cfRule>
    <cfRule type="cellIs" dxfId="15" priority="20" stopIfTrue="1" operator="equal">
      <formula>"ACQUISITION FEE WITHIN LIMIT"</formula>
    </cfRule>
  </conditionalFormatting>
  <conditionalFormatting sqref="A756:F756">
    <cfRule type="cellIs" dxfId="14" priority="60" stopIfTrue="1" operator="equal">
      <formula>"&lt;&lt;CONTINGENCY EXCEEDS MAXIMUM&gt;&gt;"</formula>
    </cfRule>
    <cfRule type="cellIs" dxfId="13" priority="61" stopIfTrue="1" operator="equal">
      <formula>"CONTINGENCY WITHIN LIMITS"</formula>
    </cfRule>
  </conditionalFormatting>
  <conditionalFormatting sqref="B410">
    <cfRule type="cellIs" dxfId="12" priority="30" stopIfTrue="1" operator="equal">
      <formula>"Yes"</formula>
    </cfRule>
    <cfRule type="cellIs" dxfId="11" priority="31" stopIfTrue="1" operator="equal">
      <formula>"No"</formula>
    </cfRule>
  </conditionalFormatting>
  <conditionalFormatting sqref="H336">
    <cfRule type="cellIs" dxfId="10" priority="32" stopIfTrue="1" operator="equal">
      <formula>"Yes"</formula>
    </cfRule>
    <cfRule type="cellIs" dxfId="9" priority="33" stopIfTrue="1" operator="equal">
      <formula>"No"</formula>
    </cfRule>
    <cfRule type="cellIs" dxfId="8" priority="34" stopIfTrue="1" operator="equal">
      <formula>"N/A"</formula>
    </cfRule>
  </conditionalFormatting>
  <conditionalFormatting sqref="H337">
    <cfRule type="cellIs" dxfId="7" priority="35" stopIfTrue="1" operator="equal">
      <formula>"No"</formula>
    </cfRule>
    <cfRule type="cellIs" dxfId="6" priority="36" stopIfTrue="1" operator="equal">
      <formula>"Yes"</formula>
    </cfRule>
    <cfRule type="cellIs" dxfId="5" priority="37" stopIfTrue="1" operator="equal">
      <formula>"N/A"</formula>
    </cfRule>
  </conditionalFormatting>
  <conditionalFormatting sqref="D806:H806">
    <cfRule type="cellIs" dxfId="4" priority="70" stopIfTrue="1" operator="equal">
      <formula>"&lt;&lt;TOTAL OVERHEAD &amp; PROFIT EXCEEDS LIMIT&gt;&gt;"</formula>
    </cfRule>
    <cfRule type="cellIs" dxfId="3" priority="71" stopIfTrue="1" operator="equal">
      <formula>"TOTAL OVERHEAD &amp; PROFIT WITHIN LIMITS"</formula>
    </cfRule>
  </conditionalFormatting>
  <conditionalFormatting sqref="A1032:F1033">
    <cfRule type="cellIs" dxfId="2" priority="1" stopIfTrue="1" operator="equal">
      <formula>"&lt;&lt;AVG PURCHASE PRICE EXCEEDS MEDIAN&gt;&gt;"</formula>
    </cfRule>
    <cfRule type="cellIs" dxfId="1" priority="2" stopIfTrue="1" operator="equal">
      <formula>"AVG PURCHASE PRICE BELOW MEDIAN"</formula>
    </cfRule>
    <cfRule type="cellIs" dxfId="0" priority="3" stopIfTrue="1" operator="equal">
      <formula>"AVG PURCHASE PRICE AT MEDIAN"</formula>
    </cfRule>
  </conditionalFormatting>
  <dataValidations disablePrompts="1" count="44">
    <dataValidation type="list" allowBlank="1" showInputMessage="1" showErrorMessage="1" sqref="D1415:D1417 H1415:H1417 H1432:H1434 J1406:J1407">
      <formula1>$L$1416:$L$1417</formula1>
    </dataValidation>
    <dataValidation type="list" allowBlank="1" showInputMessage="1" showErrorMessage="1" sqref="B1106">
      <formula1>$L$1106:$L$1109</formula1>
    </dataValidation>
    <dataValidation type="list" allowBlank="1" showInputMessage="1" showErrorMessage="1" sqref="I1093">
      <formula1>$L$1089:$L$1091</formula1>
    </dataValidation>
    <dataValidation type="list" allowBlank="1" showInputMessage="1" showErrorMessage="1" sqref="J1072">
      <formula1>$L$1072:$L$1073</formula1>
    </dataValidation>
    <dataValidation type="list" allowBlank="1" showInputMessage="1" showErrorMessage="1" sqref="B961:B964 F961:F964 F967:F970 B967:B970">
      <formula1>$L$904:$L$905</formula1>
    </dataValidation>
    <dataValidation type="list" allowBlank="1" showInputMessage="1" showErrorMessage="1" sqref="F973:G975">
      <formula1>$L$916:$L$919</formula1>
    </dataValidation>
    <dataValidation type="list" allowBlank="1" showInputMessage="1" showErrorMessage="1" sqref="A980:A984">
      <formula1>$L$923:$L$927</formula1>
    </dataValidation>
    <dataValidation type="list" allowBlank="1" showInputMessage="1" showErrorMessage="1" sqref="D980:D987">
      <formula1>$L$929:$L$930</formula1>
    </dataValidation>
    <dataValidation type="list" allowBlank="1" showInputMessage="1" showErrorMessage="1" sqref="E993:H993">
      <formula1>$L$932:$L$936</formula1>
    </dataValidation>
    <dataValidation type="list" allowBlank="1" showInputMessage="1" showErrorMessage="1" sqref="A914">
      <formula1>$L$939:$L$944</formula1>
    </dataValidation>
    <dataValidation type="list" allowBlank="1" showInputMessage="1" showErrorMessage="1" sqref="I913:J913">
      <formula1>$L$828:$L$832</formula1>
    </dataValidation>
    <dataValidation type="list" allowBlank="1" showInputMessage="1" showErrorMessage="1" sqref="I914:J914">
      <formula1>$L$913:$L$914</formula1>
    </dataValidation>
    <dataValidation type="list" allowBlank="1" showInputMessage="1" showErrorMessage="1" sqref="H914 H911:H912">
      <formula1>$L$907:$L$911</formula1>
    </dataValidation>
    <dataValidation type="list" allowBlank="1" showInputMessage="1" showErrorMessage="1" sqref="I911:J912">
      <formula1>$L$814:$L$823</formula1>
    </dataValidation>
    <dataValidation type="list" allowBlank="1" showInputMessage="1" showErrorMessage="1" sqref="E866:F866 E894:F894 E890:F890 E886:F886 E880:F880 E874:F874 E870:F870">
      <formula1>$L$891:$L$895</formula1>
    </dataValidation>
    <dataValidation type="list" allowBlank="1" showInputMessage="1" showErrorMessage="1" sqref="G862">
      <formula1>$L$857:$L$858</formula1>
    </dataValidation>
    <dataValidation type="list" allowBlank="1" showInputMessage="1" showErrorMessage="1" sqref="I585">
      <formula1>$L$429:$L$436</formula1>
    </dataValidation>
    <dataValidation type="list" allowBlank="1" showInputMessage="1" showErrorMessage="1" sqref="G573:I573">
      <formula1>$L$517:$L$520</formula1>
    </dataValidation>
    <dataValidation type="list" allowBlank="1" showInputMessage="1" showErrorMessage="1" sqref="I576 I489 I518:I519 I514:I516 I511:I512 I501:I502 I496:I499 I491:I494 I545:I546 I543">
      <formula1>$L$429:$L$431</formula1>
    </dataValidation>
    <dataValidation type="list" allowBlank="1" showInputMessage="1" showErrorMessage="1" sqref="C490:E490">
      <formula1>$L$437:$L$441</formula1>
    </dataValidation>
    <dataValidation type="list" allowBlank="1" showInputMessage="1" showErrorMessage="1" sqref="G447 I348 G449 B410">
      <formula1>$L$368:$L$370</formula1>
    </dataValidation>
    <dataValidation type="list" allowBlank="1" showInputMessage="1" showErrorMessage="1" sqref="B362 B360 B358 B355 B353 F394 G389:G390 F362 F360 F358 H336:H337">
      <formula1>$L$275:$L$276</formula1>
    </dataValidation>
    <dataValidation type="list" allowBlank="1" showInputMessage="1" showErrorMessage="1" sqref="C396:E396">
      <formula1>$L$335:$L$341</formula1>
    </dataValidation>
    <dataValidation type="list" allowBlank="1" showInputMessage="1" showErrorMessage="1" sqref="G399">
      <formula1>$L$347:$L$350</formula1>
    </dataValidation>
    <dataValidation type="list" allowBlank="1" showInputMessage="1" showErrorMessage="1" sqref="C399:D399">
      <formula1>$L$352:$L$358</formula1>
    </dataValidation>
    <dataValidation type="list" allowBlank="1" showInputMessage="1" showErrorMessage="1" sqref="C273:D273">
      <formula1>$L$214:$L$217</formula1>
    </dataValidation>
    <dataValidation type="list" allowBlank="1" showInputMessage="1" showErrorMessage="1" sqref="H275:J275">
      <formula1>$N$214:$N$220</formula1>
    </dataValidation>
    <dataValidation type="list" allowBlank="1" showInputMessage="1" showErrorMessage="1" sqref="I308:J317">
      <formula1>$L$248:$L$251</formula1>
    </dataValidation>
    <dataValidation type="list" allowBlank="1" showInputMessage="1" showErrorMessage="1" sqref="C403:F405">
      <formula1>$O$330:$O$339</formula1>
    </dataValidation>
    <dataValidation type="list" allowBlank="1" showInputMessage="1" showErrorMessage="1" sqref="B203 B84 B201 B191 B193 B196 B199 B188 B184 B182 B180 B178 B168 B172">
      <formula1>$L$65:$L$67</formula1>
    </dataValidation>
    <dataValidation type="list" allowBlank="1" showInputMessage="1" showErrorMessage="1" sqref="B235:C235">
      <formula1>$L$174:$L$203</formula1>
    </dataValidation>
    <dataValidation type="list" allowBlank="1" showInputMessage="1" showErrorMessage="1" sqref="C226:D226">
      <formula1>$L$168:$L$169</formula1>
    </dataValidation>
    <dataValidation type="list" allowBlank="1" showInputMessage="1" showErrorMessage="1" sqref="D241">
      <formula1>$N$174:$N$177</formula1>
    </dataValidation>
    <dataValidation type="list" allowBlank="1" showInputMessage="1" showErrorMessage="1" sqref="G241">
      <formula1>$N$174:$N$203</formula1>
    </dataValidation>
    <dataValidation type="list" allowBlank="1" showInputMessage="1" showErrorMessage="1" sqref="J241">
      <formula1>$P$174:$P$249</formula1>
    </dataValidation>
    <dataValidation type="list" allowBlank="1" showInputMessage="1" showErrorMessage="1" sqref="E249:H249">
      <formula1>$N$166:$N$171</formula1>
    </dataValidation>
    <dataValidation type="list" allowBlank="1" showInputMessage="1" showErrorMessage="1" sqref="E251:H251">
      <formula1>$R$166:$R$171</formula1>
    </dataValidation>
    <dataValidation type="list" allowBlank="1" showInputMessage="1" showErrorMessage="1" sqref="D259:E259">
      <formula1>$L$254:$L$256</formula1>
    </dataValidation>
    <dataValidation type="list" allowBlank="1" showInputMessage="1" showErrorMessage="1" sqref="C257:F257 D88:G88">
      <formula1>$R$173:$R$178</formula1>
    </dataValidation>
    <dataValidation type="list" allowBlank="1" showInputMessage="1" showErrorMessage="1" sqref="C397">
      <formula1>$L$330:$L$333</formula1>
    </dataValidation>
    <dataValidation type="list" allowBlank="1" showInputMessage="1" showErrorMessage="1" sqref="A416:A419 D416:D419 G416:G419 F455">
      <formula1>$L$368:$L$369</formula1>
    </dataValidation>
    <dataValidation type="list" allowBlank="1" showInputMessage="1" showErrorMessage="1" sqref="E261:H261">
      <formula1>$L$260:$L$263</formula1>
    </dataValidation>
    <dataValidation type="list" allowBlank="1" showInputMessage="1" showErrorMessage="1" sqref="E263">
      <formula1>$P$260:$P$261</formula1>
    </dataValidation>
    <dataValidation type="list" allowBlank="1" showInputMessage="1" showErrorMessage="1" sqref="I263">
      <formula1>$P$263:$P$266</formula1>
    </dataValidation>
  </dataValidations>
  <hyperlinks>
    <hyperlink ref="I236" r:id="rId1"/>
    <hyperlink ref="D245" r:id="rId2"/>
    <hyperlink ref="D247" r:id="rId3"/>
    <hyperlink ref="D243" r:id="rId4"/>
    <hyperlink ref="H447" r:id="rId5"/>
    <hyperlink ref="H449" r:id="rId6"/>
    <hyperlink ref="D459" r:id="rId7"/>
  </hyperlinks>
  <printOptions horizontalCentered="1"/>
  <pageMargins left="0.5" right="0.5" top="1" bottom="0.75" header="0.5" footer="0.5"/>
  <pageSetup scale="93" orientation="portrait" r:id="rId8"/>
  <headerFooter alignWithMargins="0">
    <oddFooter>&amp;L&amp;8Last Updated May 18, 2016&amp;CPage &amp;P of &amp;N</oddFooter>
  </headerFooter>
  <rowBreaks count="26" manualBreakCount="26">
    <brk id="53" max="10" man="1"/>
    <brk id="107" max="10" man="1"/>
    <brk id="157" max="10" man="1"/>
    <brk id="210" max="10" man="1"/>
    <brk id="264" max="10" man="1"/>
    <brk id="318" max="10" man="1"/>
    <brk id="372" max="10" man="1"/>
    <brk id="426" max="10" man="1"/>
    <brk id="480" max="10" man="1"/>
    <brk id="533" max="9" man="1"/>
    <brk id="586" max="9" man="1"/>
    <brk id="640" max="9" man="1"/>
    <brk id="691" max="9" man="1"/>
    <brk id="743" max="9" man="1"/>
    <brk id="797" max="9" man="1"/>
    <brk id="846" max="9" man="1"/>
    <brk id="899" max="9" man="1"/>
    <brk id="952" max="9" man="1"/>
    <brk id="1007" max="9" man="1"/>
    <brk id="1062" max="9" man="1"/>
    <brk id="1115" max="9" man="1"/>
    <brk id="1170" max="9" man="1"/>
    <brk id="1223" max="9" man="1"/>
    <brk id="1276" max="9" man="1"/>
    <brk id="1329" max="9" man="1"/>
    <brk id="1381" max="9"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1"/>
  <sheetViews>
    <sheetView view="pageBreakPreview" zoomScale="60" zoomScaleNormal="100" workbookViewId="0">
      <selection activeCell="A2" sqref="A2"/>
    </sheetView>
  </sheetViews>
  <sheetFormatPr defaultColWidth="8.85546875" defaultRowHeight="12.75" x14ac:dyDescent="0.2"/>
  <cols>
    <col min="1" max="1" width="13.85546875" style="1" bestFit="1" customWidth="1"/>
    <col min="2" max="2" width="13.7109375" style="1" customWidth="1"/>
    <col min="3" max="15" width="9" style="1" bestFit="1" customWidth="1"/>
    <col min="16" max="18" width="9.140625" style="1" bestFit="1" customWidth="1"/>
    <col min="19" max="20" width="10.5703125" style="1" bestFit="1" customWidth="1"/>
    <col min="21" max="21" width="10.42578125" style="1" bestFit="1" customWidth="1"/>
    <col min="22" max="22" width="10.5703125" style="1" bestFit="1" customWidth="1"/>
    <col min="23" max="29" width="9" style="1" bestFit="1" customWidth="1"/>
    <col min="30" max="16384" width="8.85546875" style="1"/>
  </cols>
  <sheetData>
    <row r="1" spans="1:32" ht="13.5" thickBot="1" x14ac:dyDescent="0.25">
      <c r="B1" s="2" t="s">
        <v>48</v>
      </c>
      <c r="C1" s="680" t="s">
        <v>49</v>
      </c>
      <c r="D1" s="680"/>
      <c r="E1" s="680"/>
      <c r="F1" s="680"/>
      <c r="G1" s="680"/>
      <c r="H1" s="680"/>
      <c r="I1" s="680"/>
      <c r="J1" s="680"/>
      <c r="K1" s="680" t="s">
        <v>50</v>
      </c>
      <c r="L1" s="680"/>
      <c r="M1" s="680"/>
      <c r="N1" s="680"/>
      <c r="O1" s="680"/>
      <c r="P1" s="680"/>
      <c r="Q1" s="680"/>
      <c r="R1" s="680"/>
      <c r="S1" s="680" t="s">
        <v>1135</v>
      </c>
      <c r="T1" s="680"/>
      <c r="U1" s="680"/>
      <c r="V1" s="680"/>
      <c r="W1" s="680"/>
      <c r="X1" s="106" t="s">
        <v>1147</v>
      </c>
      <c r="Y1" s="106"/>
      <c r="Z1" s="106"/>
      <c r="AA1" s="106"/>
      <c r="AB1" s="106"/>
      <c r="AC1" s="106"/>
    </row>
    <row r="2" spans="1:32" ht="13.15" customHeight="1" x14ac:dyDescent="0.2">
      <c r="A2" s="3">
        <v>2015</v>
      </c>
      <c r="B2" s="4" t="s">
        <v>51</v>
      </c>
      <c r="C2" s="5">
        <v>1</v>
      </c>
      <c r="D2" s="6">
        <v>2</v>
      </c>
      <c r="E2" s="6">
        <v>3</v>
      </c>
      <c r="F2" s="6">
        <v>4</v>
      </c>
      <c r="G2" s="6">
        <v>5</v>
      </c>
      <c r="H2" s="6">
        <v>6</v>
      </c>
      <c r="I2" s="6">
        <v>7</v>
      </c>
      <c r="J2" s="6">
        <v>8</v>
      </c>
      <c r="K2" s="5">
        <v>1</v>
      </c>
      <c r="L2" s="6">
        <v>2</v>
      </c>
      <c r="M2" s="6">
        <v>3</v>
      </c>
      <c r="N2" s="6">
        <v>4</v>
      </c>
      <c r="O2" s="6">
        <v>5</v>
      </c>
      <c r="P2" s="6">
        <v>6</v>
      </c>
      <c r="Q2" s="6">
        <v>7</v>
      </c>
      <c r="R2" s="6">
        <v>8</v>
      </c>
      <c r="S2" s="7">
        <v>1</v>
      </c>
      <c r="T2" s="6">
        <v>2</v>
      </c>
      <c r="U2" s="6">
        <v>3</v>
      </c>
      <c r="V2" s="6">
        <v>4</v>
      </c>
      <c r="W2" s="6" t="s">
        <v>515</v>
      </c>
      <c r="X2" s="123" t="s">
        <v>179</v>
      </c>
      <c r="Y2" s="123" t="s">
        <v>384</v>
      </c>
      <c r="Z2" s="105" t="s">
        <v>385</v>
      </c>
      <c r="AA2" s="682" t="s">
        <v>52</v>
      </c>
      <c r="AB2" s="699" t="s">
        <v>53</v>
      </c>
      <c r="AC2" s="686" t="s">
        <v>54</v>
      </c>
    </row>
    <row r="3" spans="1:32" x14ac:dyDescent="0.2">
      <c r="A3" s="8" t="s">
        <v>55</v>
      </c>
      <c r="B3" s="414">
        <v>57700</v>
      </c>
      <c r="C3" s="424">
        <v>22450</v>
      </c>
      <c r="D3" s="419">
        <v>25650</v>
      </c>
      <c r="E3" s="419">
        <v>28850</v>
      </c>
      <c r="F3" s="419">
        <v>32050</v>
      </c>
      <c r="G3" s="419">
        <v>34650</v>
      </c>
      <c r="H3" s="419">
        <v>37200</v>
      </c>
      <c r="I3" s="419">
        <v>39750</v>
      </c>
      <c r="J3" s="419">
        <v>42350</v>
      </c>
      <c r="K3" s="424">
        <v>35950</v>
      </c>
      <c r="L3" s="419">
        <v>41050</v>
      </c>
      <c r="M3" s="419">
        <v>46200</v>
      </c>
      <c r="N3" s="419">
        <v>51300</v>
      </c>
      <c r="O3" s="419">
        <v>55450</v>
      </c>
      <c r="P3" s="419">
        <v>59550</v>
      </c>
      <c r="Q3" s="419">
        <v>63650</v>
      </c>
      <c r="R3" s="419">
        <v>67750</v>
      </c>
      <c r="S3" s="402">
        <v>228000</v>
      </c>
      <c r="T3" s="400">
        <v>292000</v>
      </c>
      <c r="U3" s="400">
        <v>353000</v>
      </c>
      <c r="V3" s="400">
        <v>438000</v>
      </c>
      <c r="W3" s="401">
        <v>42492</v>
      </c>
      <c r="X3" s="300" t="s">
        <v>55</v>
      </c>
      <c r="Y3" s="390" t="s">
        <v>386</v>
      </c>
      <c r="Z3" s="391">
        <v>2.4</v>
      </c>
      <c r="AA3" s="683"/>
      <c r="AB3" s="700"/>
      <c r="AC3" s="687"/>
    </row>
    <row r="4" spans="1:32" x14ac:dyDescent="0.2">
      <c r="A4" s="11" t="s">
        <v>56</v>
      </c>
      <c r="B4" s="415">
        <v>64600</v>
      </c>
      <c r="C4" s="418">
        <v>22650</v>
      </c>
      <c r="D4" s="419">
        <v>25850</v>
      </c>
      <c r="E4" s="419">
        <v>29100</v>
      </c>
      <c r="F4" s="419">
        <v>32300</v>
      </c>
      <c r="G4" s="419">
        <v>34900</v>
      </c>
      <c r="H4" s="419">
        <v>37500</v>
      </c>
      <c r="I4" s="419">
        <v>40100</v>
      </c>
      <c r="J4" s="419">
        <v>42650</v>
      </c>
      <c r="K4" s="418">
        <v>36200</v>
      </c>
      <c r="L4" s="419">
        <v>41400</v>
      </c>
      <c r="M4" s="419">
        <v>46550</v>
      </c>
      <c r="N4" s="419">
        <v>51700</v>
      </c>
      <c r="O4" s="419">
        <v>55850</v>
      </c>
      <c r="P4" s="419">
        <v>60000</v>
      </c>
      <c r="Q4" s="419">
        <v>64150</v>
      </c>
      <c r="R4" s="419">
        <v>68250</v>
      </c>
      <c r="S4" s="402">
        <v>228000</v>
      </c>
      <c r="T4" s="400">
        <v>292000</v>
      </c>
      <c r="U4" s="400">
        <v>353000</v>
      </c>
      <c r="V4" s="400">
        <v>438000</v>
      </c>
      <c r="W4" s="403">
        <v>42492</v>
      </c>
      <c r="X4" s="301" t="s">
        <v>56</v>
      </c>
      <c r="Y4" s="392" t="s">
        <v>386</v>
      </c>
      <c r="Z4" s="393">
        <v>2.4</v>
      </c>
      <c r="AA4" s="10">
        <v>0</v>
      </c>
      <c r="AB4" s="14">
        <v>58378</v>
      </c>
      <c r="AC4" s="304">
        <v>55474</v>
      </c>
    </row>
    <row r="5" spans="1:32" x14ac:dyDescent="0.2">
      <c r="A5" s="11" t="s">
        <v>57</v>
      </c>
      <c r="B5" s="416">
        <v>57700</v>
      </c>
      <c r="C5" s="418">
        <v>22450</v>
      </c>
      <c r="D5" s="419">
        <v>25650</v>
      </c>
      <c r="E5" s="419">
        <v>28850</v>
      </c>
      <c r="F5" s="419">
        <v>32050</v>
      </c>
      <c r="G5" s="419">
        <v>24650</v>
      </c>
      <c r="H5" s="419">
        <v>37200</v>
      </c>
      <c r="I5" s="419">
        <v>39750</v>
      </c>
      <c r="J5" s="419">
        <v>42350</v>
      </c>
      <c r="K5" s="418">
        <v>35950</v>
      </c>
      <c r="L5" s="419">
        <v>41050</v>
      </c>
      <c r="M5" s="419">
        <v>46200</v>
      </c>
      <c r="N5" s="419">
        <v>51300</v>
      </c>
      <c r="O5" s="419">
        <v>55450</v>
      </c>
      <c r="P5" s="419">
        <v>59550</v>
      </c>
      <c r="Q5" s="419">
        <v>63650</v>
      </c>
      <c r="R5" s="419">
        <v>67750</v>
      </c>
      <c r="S5" s="402">
        <v>228000</v>
      </c>
      <c r="T5" s="400">
        <v>292000</v>
      </c>
      <c r="U5" s="400">
        <v>353000</v>
      </c>
      <c r="V5" s="400">
        <v>438000</v>
      </c>
      <c r="W5" s="403">
        <v>42492</v>
      </c>
      <c r="X5" s="301" t="s">
        <v>57</v>
      </c>
      <c r="Y5" s="392" t="s">
        <v>386</v>
      </c>
      <c r="Z5" s="393">
        <v>2.4</v>
      </c>
      <c r="AA5" s="10">
        <v>1</v>
      </c>
      <c r="AB5" s="16">
        <v>66923</v>
      </c>
      <c r="AC5" s="107">
        <v>63962</v>
      </c>
    </row>
    <row r="6" spans="1:32" x14ac:dyDescent="0.2">
      <c r="A6" s="11" t="s">
        <v>58</v>
      </c>
      <c r="B6" s="416">
        <v>61000</v>
      </c>
      <c r="C6" s="418">
        <v>22450</v>
      </c>
      <c r="D6" s="419">
        <v>25650</v>
      </c>
      <c r="E6" s="419">
        <v>28850</v>
      </c>
      <c r="F6" s="419">
        <v>32050</v>
      </c>
      <c r="G6" s="419">
        <v>24650</v>
      </c>
      <c r="H6" s="419">
        <v>37200</v>
      </c>
      <c r="I6" s="419">
        <v>39750</v>
      </c>
      <c r="J6" s="419">
        <v>42350</v>
      </c>
      <c r="K6" s="418">
        <v>35950</v>
      </c>
      <c r="L6" s="419">
        <v>41050</v>
      </c>
      <c r="M6" s="419">
        <v>46200</v>
      </c>
      <c r="N6" s="419">
        <v>51300</v>
      </c>
      <c r="O6" s="419">
        <v>55450</v>
      </c>
      <c r="P6" s="419">
        <v>59550</v>
      </c>
      <c r="Q6" s="419">
        <v>63650</v>
      </c>
      <c r="R6" s="419">
        <v>67750</v>
      </c>
      <c r="S6" s="402">
        <v>228000</v>
      </c>
      <c r="T6" s="400">
        <v>292000</v>
      </c>
      <c r="U6" s="400">
        <v>353000</v>
      </c>
      <c r="V6" s="400">
        <v>438000</v>
      </c>
      <c r="W6" s="403">
        <v>42492</v>
      </c>
      <c r="X6" s="301" t="s">
        <v>58</v>
      </c>
      <c r="Y6" s="392" t="s">
        <v>387</v>
      </c>
      <c r="Z6" s="393">
        <v>2.4</v>
      </c>
      <c r="AA6" s="10">
        <v>2</v>
      </c>
      <c r="AB6" s="16">
        <v>81377</v>
      </c>
      <c r="AC6" s="107">
        <v>77140</v>
      </c>
    </row>
    <row r="7" spans="1:32" x14ac:dyDescent="0.2">
      <c r="A7" s="11" t="s">
        <v>59</v>
      </c>
      <c r="B7" s="416">
        <v>69700</v>
      </c>
      <c r="C7" s="418">
        <v>23100</v>
      </c>
      <c r="D7" s="419">
        <v>26400</v>
      </c>
      <c r="E7" s="419">
        <v>29700</v>
      </c>
      <c r="F7" s="419">
        <v>33000</v>
      </c>
      <c r="G7" s="419">
        <v>35650</v>
      </c>
      <c r="H7" s="419">
        <v>38300</v>
      </c>
      <c r="I7" s="419">
        <v>40950</v>
      </c>
      <c r="J7" s="419">
        <v>43600</v>
      </c>
      <c r="K7" s="425">
        <v>37000</v>
      </c>
      <c r="L7" s="421">
        <v>42250</v>
      </c>
      <c r="M7" s="421">
        <v>47550</v>
      </c>
      <c r="N7" s="421">
        <v>52800</v>
      </c>
      <c r="O7" s="421">
        <v>57050</v>
      </c>
      <c r="P7" s="421">
        <v>61250</v>
      </c>
      <c r="Q7" s="421">
        <v>65500</v>
      </c>
      <c r="R7" s="421">
        <v>69700</v>
      </c>
      <c r="S7" s="402">
        <v>228000</v>
      </c>
      <c r="T7" s="400">
        <v>292000</v>
      </c>
      <c r="U7" s="400">
        <v>353000</v>
      </c>
      <c r="V7" s="400">
        <v>438000</v>
      </c>
      <c r="W7" s="403">
        <v>42492</v>
      </c>
      <c r="X7" s="301" t="s">
        <v>59</v>
      </c>
      <c r="Y7" s="392" t="s">
        <v>387</v>
      </c>
      <c r="Z7" s="393">
        <v>2.4</v>
      </c>
      <c r="AA7" s="10">
        <v>3</v>
      </c>
      <c r="AB7" s="16">
        <v>105276</v>
      </c>
      <c r="AC7" s="107">
        <v>98742</v>
      </c>
    </row>
    <row r="8" spans="1:32" x14ac:dyDescent="0.2">
      <c r="A8" s="11" t="s">
        <v>61</v>
      </c>
      <c r="B8" s="416">
        <v>73000</v>
      </c>
      <c r="C8" s="418">
        <v>25550</v>
      </c>
      <c r="D8" s="420">
        <v>29200</v>
      </c>
      <c r="E8" s="420">
        <v>32850</v>
      </c>
      <c r="F8" s="420">
        <v>26500</v>
      </c>
      <c r="G8" s="420">
        <v>39450</v>
      </c>
      <c r="H8" s="420">
        <v>42350</v>
      </c>
      <c r="I8" s="420">
        <v>45300</v>
      </c>
      <c r="J8" s="420">
        <v>48200</v>
      </c>
      <c r="K8" s="418">
        <v>40900</v>
      </c>
      <c r="L8" s="420">
        <v>46750</v>
      </c>
      <c r="M8" s="420">
        <v>52600</v>
      </c>
      <c r="N8" s="420">
        <v>58400</v>
      </c>
      <c r="O8" s="420">
        <v>63100</v>
      </c>
      <c r="P8" s="420">
        <v>67750</v>
      </c>
      <c r="Q8" s="420">
        <v>72450</v>
      </c>
      <c r="R8" s="426">
        <v>77100</v>
      </c>
      <c r="S8" s="402">
        <v>228000</v>
      </c>
      <c r="T8" s="400">
        <v>292000</v>
      </c>
      <c r="U8" s="400">
        <v>353000</v>
      </c>
      <c r="V8" s="400">
        <v>438000</v>
      </c>
      <c r="W8" s="403">
        <v>42492</v>
      </c>
      <c r="X8" s="301" t="s">
        <v>61</v>
      </c>
      <c r="Y8" s="392" t="s">
        <v>386</v>
      </c>
      <c r="Z8" s="393">
        <v>2.4</v>
      </c>
      <c r="AA8" s="10" t="s">
        <v>60</v>
      </c>
      <c r="AB8" s="108">
        <v>115560</v>
      </c>
      <c r="AC8" s="109">
        <v>110002</v>
      </c>
    </row>
    <row r="9" spans="1:32" x14ac:dyDescent="0.2">
      <c r="A9" s="11" t="s">
        <v>63</v>
      </c>
      <c r="B9" s="416">
        <v>64700</v>
      </c>
      <c r="C9" s="418">
        <v>22650</v>
      </c>
      <c r="D9" s="419">
        <v>25900</v>
      </c>
      <c r="E9" s="419">
        <v>29150</v>
      </c>
      <c r="F9" s="419">
        <v>32350</v>
      </c>
      <c r="G9" s="419">
        <v>34950</v>
      </c>
      <c r="H9" s="419">
        <v>37550</v>
      </c>
      <c r="I9" s="419">
        <v>40150</v>
      </c>
      <c r="J9" s="419">
        <v>42750</v>
      </c>
      <c r="K9" s="418">
        <v>36250</v>
      </c>
      <c r="L9" s="419">
        <v>41400</v>
      </c>
      <c r="M9" s="419">
        <v>46600</v>
      </c>
      <c r="N9" s="419">
        <v>51750</v>
      </c>
      <c r="O9" s="419">
        <v>55900</v>
      </c>
      <c r="P9" s="419">
        <v>60050</v>
      </c>
      <c r="Q9" s="419">
        <v>64200</v>
      </c>
      <c r="R9" s="419">
        <v>68350</v>
      </c>
      <c r="S9" s="402">
        <v>228000</v>
      </c>
      <c r="T9" s="400">
        <v>292000</v>
      </c>
      <c r="U9" s="400">
        <v>353000</v>
      </c>
      <c r="V9" s="400">
        <v>438000</v>
      </c>
      <c r="W9" s="403">
        <v>42492</v>
      </c>
      <c r="X9" s="301" t="s">
        <v>63</v>
      </c>
      <c r="Y9" s="392" t="s">
        <v>387</v>
      </c>
      <c r="Z9" s="393">
        <v>2.4</v>
      </c>
      <c r="AA9" s="16" t="s">
        <v>62</v>
      </c>
      <c r="AB9" s="698">
        <v>42326</v>
      </c>
      <c r="AC9" s="698"/>
    </row>
    <row r="10" spans="1:32" x14ac:dyDescent="0.2">
      <c r="A10" s="11" t="s">
        <v>64</v>
      </c>
      <c r="B10" s="416">
        <v>62600</v>
      </c>
      <c r="C10" s="418">
        <v>22450</v>
      </c>
      <c r="D10" s="419">
        <v>25650</v>
      </c>
      <c r="E10" s="419">
        <v>28850</v>
      </c>
      <c r="F10" s="419">
        <v>32050</v>
      </c>
      <c r="G10" s="419">
        <v>24650</v>
      </c>
      <c r="H10" s="419">
        <v>37200</v>
      </c>
      <c r="I10" s="419">
        <v>39750</v>
      </c>
      <c r="J10" s="419">
        <v>42350</v>
      </c>
      <c r="K10" s="418">
        <v>35950</v>
      </c>
      <c r="L10" s="419">
        <v>41050</v>
      </c>
      <c r="M10" s="419">
        <v>46200</v>
      </c>
      <c r="N10" s="419">
        <v>51300</v>
      </c>
      <c r="O10" s="419">
        <v>55450</v>
      </c>
      <c r="P10" s="419">
        <v>59550</v>
      </c>
      <c r="Q10" s="419">
        <v>63650</v>
      </c>
      <c r="R10" s="419">
        <v>67750</v>
      </c>
      <c r="S10" s="402">
        <v>228000</v>
      </c>
      <c r="T10" s="400">
        <v>292000</v>
      </c>
      <c r="U10" s="400">
        <v>353000</v>
      </c>
      <c r="V10" s="400">
        <v>438000</v>
      </c>
      <c r="W10" s="403">
        <v>42492</v>
      </c>
      <c r="X10" s="301" t="s">
        <v>64</v>
      </c>
      <c r="Y10" s="392" t="s">
        <v>387</v>
      </c>
      <c r="Z10" s="393">
        <v>2.4</v>
      </c>
      <c r="AA10" s="16"/>
      <c r="AB10" s="13"/>
      <c r="AC10" s="13"/>
    </row>
    <row r="11" spans="1:32" x14ac:dyDescent="0.2">
      <c r="A11" s="11" t="s">
        <v>65</v>
      </c>
      <c r="B11" s="416">
        <v>51800</v>
      </c>
      <c r="C11" s="418">
        <v>22450</v>
      </c>
      <c r="D11" s="419">
        <v>25650</v>
      </c>
      <c r="E11" s="419">
        <v>28850</v>
      </c>
      <c r="F11" s="419">
        <v>32050</v>
      </c>
      <c r="G11" s="419">
        <v>24650</v>
      </c>
      <c r="H11" s="419">
        <v>37200</v>
      </c>
      <c r="I11" s="419">
        <v>39750</v>
      </c>
      <c r="J11" s="419">
        <v>42350</v>
      </c>
      <c r="K11" s="418">
        <v>35950</v>
      </c>
      <c r="L11" s="419">
        <v>41050</v>
      </c>
      <c r="M11" s="419">
        <v>46200</v>
      </c>
      <c r="N11" s="419">
        <v>51300</v>
      </c>
      <c r="O11" s="419">
        <v>55450</v>
      </c>
      <c r="P11" s="419">
        <v>59550</v>
      </c>
      <c r="Q11" s="419">
        <v>63650</v>
      </c>
      <c r="R11" s="419">
        <v>67750</v>
      </c>
      <c r="S11" s="402">
        <v>228000</v>
      </c>
      <c r="T11" s="400">
        <v>292000</v>
      </c>
      <c r="U11" s="400">
        <v>353000</v>
      </c>
      <c r="V11" s="400">
        <v>438000</v>
      </c>
      <c r="W11" s="403">
        <v>42492</v>
      </c>
      <c r="X11" s="301" t="s">
        <v>65</v>
      </c>
      <c r="Y11" s="392" t="s">
        <v>388</v>
      </c>
      <c r="Z11" s="393">
        <v>2.4</v>
      </c>
      <c r="AA11" s="713" t="s">
        <v>1146</v>
      </c>
      <c r="AB11" s="714"/>
      <c r="AC11" s="714"/>
    </row>
    <row r="12" spans="1:32" x14ac:dyDescent="0.2">
      <c r="A12" s="11" t="s">
        <v>66</v>
      </c>
      <c r="B12" s="416">
        <v>64300</v>
      </c>
      <c r="C12" s="418">
        <v>22450</v>
      </c>
      <c r="D12" s="419">
        <v>25650</v>
      </c>
      <c r="E12" s="419">
        <v>28850</v>
      </c>
      <c r="F12" s="419">
        <v>32050</v>
      </c>
      <c r="G12" s="419">
        <v>24650</v>
      </c>
      <c r="H12" s="419">
        <v>37200</v>
      </c>
      <c r="I12" s="419">
        <v>39750</v>
      </c>
      <c r="J12" s="419">
        <v>42350</v>
      </c>
      <c r="K12" s="418">
        <v>35950</v>
      </c>
      <c r="L12" s="419">
        <v>41050</v>
      </c>
      <c r="M12" s="419">
        <v>46200</v>
      </c>
      <c r="N12" s="419">
        <v>51300</v>
      </c>
      <c r="O12" s="419">
        <v>55450</v>
      </c>
      <c r="P12" s="419">
        <v>59550</v>
      </c>
      <c r="Q12" s="419">
        <v>63650</v>
      </c>
      <c r="R12" s="419">
        <v>67750</v>
      </c>
      <c r="S12" s="402">
        <v>238000</v>
      </c>
      <c r="T12" s="400">
        <v>304000</v>
      </c>
      <c r="U12" s="400">
        <v>368000</v>
      </c>
      <c r="V12" s="400">
        <v>456000</v>
      </c>
      <c r="W12" s="403">
        <v>42492</v>
      </c>
      <c r="X12" s="301" t="s">
        <v>66</v>
      </c>
      <c r="Y12" s="392" t="s">
        <v>387</v>
      </c>
      <c r="Z12" s="393">
        <v>2.4</v>
      </c>
      <c r="AA12" s="713"/>
      <c r="AB12" s="714"/>
      <c r="AC12" s="714"/>
      <c r="AD12" s="13"/>
      <c r="AE12" s="13"/>
      <c r="AF12" s="13"/>
    </row>
    <row r="13" spans="1:32" x14ac:dyDescent="0.2">
      <c r="A13" s="11" t="s">
        <v>67</v>
      </c>
      <c r="B13" s="416">
        <v>51100</v>
      </c>
      <c r="C13" s="418">
        <v>22450</v>
      </c>
      <c r="D13" s="419">
        <v>25650</v>
      </c>
      <c r="E13" s="419">
        <v>28850</v>
      </c>
      <c r="F13" s="419">
        <v>32050</v>
      </c>
      <c r="G13" s="419">
        <v>24650</v>
      </c>
      <c r="H13" s="419">
        <v>37200</v>
      </c>
      <c r="I13" s="419">
        <v>39750</v>
      </c>
      <c r="J13" s="419">
        <v>42350</v>
      </c>
      <c r="K13" s="418">
        <v>35950</v>
      </c>
      <c r="L13" s="419">
        <v>41050</v>
      </c>
      <c r="M13" s="419">
        <v>46200</v>
      </c>
      <c r="N13" s="419">
        <v>51300</v>
      </c>
      <c r="O13" s="419">
        <v>55450</v>
      </c>
      <c r="P13" s="419">
        <v>59550</v>
      </c>
      <c r="Q13" s="419">
        <v>63650</v>
      </c>
      <c r="R13" s="419">
        <v>67750</v>
      </c>
      <c r="S13" s="402">
        <v>228000</v>
      </c>
      <c r="T13" s="400">
        <v>292000</v>
      </c>
      <c r="U13" s="400">
        <v>353000</v>
      </c>
      <c r="V13" s="400">
        <v>438000</v>
      </c>
      <c r="W13" s="403">
        <v>42492</v>
      </c>
      <c r="X13" s="301" t="s">
        <v>67</v>
      </c>
      <c r="Y13" s="392" t="s">
        <v>388</v>
      </c>
      <c r="Z13" s="393">
        <v>2.4</v>
      </c>
      <c r="AA13" s="713"/>
      <c r="AB13" s="714"/>
      <c r="AC13" s="714"/>
      <c r="AD13" s="13"/>
      <c r="AE13" s="13"/>
      <c r="AF13" s="13"/>
    </row>
    <row r="14" spans="1:32" x14ac:dyDescent="0.2">
      <c r="A14" s="11" t="s">
        <v>68</v>
      </c>
      <c r="B14" s="416">
        <v>67600</v>
      </c>
      <c r="C14" s="418">
        <v>23700</v>
      </c>
      <c r="D14" s="419">
        <v>27050</v>
      </c>
      <c r="E14" s="419">
        <v>30450</v>
      </c>
      <c r="F14" s="419">
        <v>33800</v>
      </c>
      <c r="G14" s="419">
        <v>36550</v>
      </c>
      <c r="H14" s="419">
        <v>39250</v>
      </c>
      <c r="I14" s="419">
        <v>41950</v>
      </c>
      <c r="J14" s="419">
        <v>44650</v>
      </c>
      <c r="K14" s="418">
        <v>37900</v>
      </c>
      <c r="L14" s="419">
        <v>43300</v>
      </c>
      <c r="M14" s="419">
        <v>48700</v>
      </c>
      <c r="N14" s="419">
        <v>54100</v>
      </c>
      <c r="O14" s="419">
        <v>58450</v>
      </c>
      <c r="P14" s="419">
        <v>62800</v>
      </c>
      <c r="Q14" s="419">
        <v>67100</v>
      </c>
      <c r="R14" s="419">
        <v>71450</v>
      </c>
      <c r="S14" s="402">
        <v>233000</v>
      </c>
      <c r="T14" s="400">
        <v>298000</v>
      </c>
      <c r="U14" s="400">
        <v>361000</v>
      </c>
      <c r="V14" s="400">
        <v>447000</v>
      </c>
      <c r="W14" s="403">
        <v>42492</v>
      </c>
      <c r="X14" s="301" t="s">
        <v>68</v>
      </c>
      <c r="Y14" s="392" t="s">
        <v>386</v>
      </c>
      <c r="Z14" s="393">
        <v>2.4</v>
      </c>
      <c r="AA14" s="713"/>
      <c r="AB14" s="714"/>
      <c r="AC14" s="714"/>
      <c r="AD14" s="13"/>
      <c r="AE14" s="13"/>
      <c r="AF14" s="13"/>
    </row>
    <row r="15" spans="1:32" x14ac:dyDescent="0.2">
      <c r="A15" s="11" t="s">
        <v>69</v>
      </c>
      <c r="B15" s="416">
        <v>60400</v>
      </c>
      <c r="C15" s="418">
        <v>22450</v>
      </c>
      <c r="D15" s="419">
        <v>25650</v>
      </c>
      <c r="E15" s="419">
        <v>28850</v>
      </c>
      <c r="F15" s="419">
        <v>32050</v>
      </c>
      <c r="G15" s="419">
        <v>24650</v>
      </c>
      <c r="H15" s="419">
        <v>37200</v>
      </c>
      <c r="I15" s="419">
        <v>39750</v>
      </c>
      <c r="J15" s="419">
        <v>42350</v>
      </c>
      <c r="K15" s="418">
        <v>35950</v>
      </c>
      <c r="L15" s="419">
        <v>41050</v>
      </c>
      <c r="M15" s="419">
        <v>46200</v>
      </c>
      <c r="N15" s="419">
        <v>51300</v>
      </c>
      <c r="O15" s="419">
        <v>55450</v>
      </c>
      <c r="P15" s="419">
        <v>59550</v>
      </c>
      <c r="Q15" s="419">
        <v>63650</v>
      </c>
      <c r="R15" s="419">
        <v>67750</v>
      </c>
      <c r="S15" s="402">
        <v>228000</v>
      </c>
      <c r="T15" s="400">
        <v>292000</v>
      </c>
      <c r="U15" s="400">
        <v>353000</v>
      </c>
      <c r="V15" s="400">
        <v>438000</v>
      </c>
      <c r="W15" s="403">
        <v>42492</v>
      </c>
      <c r="X15" s="301" t="s">
        <v>69</v>
      </c>
      <c r="Y15" s="392" t="s">
        <v>388</v>
      </c>
      <c r="Z15" s="393">
        <v>2.4</v>
      </c>
      <c r="AA15" s="713"/>
      <c r="AB15" s="714"/>
      <c r="AC15" s="714"/>
      <c r="AD15" s="13"/>
      <c r="AE15" s="13"/>
      <c r="AF15" s="13"/>
    </row>
    <row r="16" spans="1:32" x14ac:dyDescent="0.2">
      <c r="A16" s="11" t="s">
        <v>70</v>
      </c>
      <c r="B16" s="416">
        <v>60800</v>
      </c>
      <c r="C16" s="418">
        <v>22450</v>
      </c>
      <c r="D16" s="419">
        <v>25650</v>
      </c>
      <c r="E16" s="419">
        <v>28850</v>
      </c>
      <c r="F16" s="419">
        <v>32050</v>
      </c>
      <c r="G16" s="419">
        <v>24650</v>
      </c>
      <c r="H16" s="419">
        <v>37200</v>
      </c>
      <c r="I16" s="419">
        <v>39750</v>
      </c>
      <c r="J16" s="419">
        <v>42350</v>
      </c>
      <c r="K16" s="418">
        <v>35950</v>
      </c>
      <c r="L16" s="419">
        <v>41050</v>
      </c>
      <c r="M16" s="419">
        <v>46200</v>
      </c>
      <c r="N16" s="419">
        <v>51300</v>
      </c>
      <c r="O16" s="419">
        <v>55450</v>
      </c>
      <c r="P16" s="419">
        <v>59550</v>
      </c>
      <c r="Q16" s="419">
        <v>63650</v>
      </c>
      <c r="R16" s="419">
        <v>67750</v>
      </c>
      <c r="S16" s="402">
        <v>228000</v>
      </c>
      <c r="T16" s="400">
        <v>292000</v>
      </c>
      <c r="U16" s="400">
        <v>353000</v>
      </c>
      <c r="V16" s="400">
        <v>438000</v>
      </c>
      <c r="W16" s="403">
        <v>42492</v>
      </c>
      <c r="X16" s="301" t="s">
        <v>70</v>
      </c>
      <c r="Y16" s="392" t="s">
        <v>386</v>
      </c>
      <c r="Z16" s="393">
        <v>2.4</v>
      </c>
      <c r="AA16" s="713"/>
      <c r="AB16" s="714"/>
      <c r="AC16" s="714"/>
      <c r="AD16" s="13"/>
      <c r="AE16" s="13"/>
      <c r="AF16" s="13"/>
    </row>
    <row r="17" spans="1:32" x14ac:dyDescent="0.2">
      <c r="A17" s="11" t="s">
        <v>71</v>
      </c>
      <c r="B17" s="416">
        <v>73000</v>
      </c>
      <c r="C17" s="418">
        <v>25550</v>
      </c>
      <c r="D17" s="420">
        <v>29200</v>
      </c>
      <c r="E17" s="420">
        <v>32850</v>
      </c>
      <c r="F17" s="420">
        <v>26500</v>
      </c>
      <c r="G17" s="420">
        <v>39450</v>
      </c>
      <c r="H17" s="420">
        <v>42350</v>
      </c>
      <c r="I17" s="420">
        <v>45300</v>
      </c>
      <c r="J17" s="420">
        <v>48200</v>
      </c>
      <c r="K17" s="418">
        <v>40900</v>
      </c>
      <c r="L17" s="420">
        <v>46750</v>
      </c>
      <c r="M17" s="420">
        <v>52600</v>
      </c>
      <c r="N17" s="420">
        <v>58400</v>
      </c>
      <c r="O17" s="420">
        <v>63100</v>
      </c>
      <c r="P17" s="420">
        <v>67750</v>
      </c>
      <c r="Q17" s="420">
        <v>72450</v>
      </c>
      <c r="R17" s="426">
        <v>77100</v>
      </c>
      <c r="S17" s="402">
        <v>245000</v>
      </c>
      <c r="T17" s="400">
        <v>314000</v>
      </c>
      <c r="U17" s="400">
        <v>380000</v>
      </c>
      <c r="V17" s="400">
        <v>471000</v>
      </c>
      <c r="W17" s="403">
        <v>42492</v>
      </c>
      <c r="X17" s="301" t="s">
        <v>71</v>
      </c>
      <c r="Y17" s="392" t="s">
        <v>386</v>
      </c>
      <c r="Z17" s="393">
        <v>2.4</v>
      </c>
      <c r="AA17" s="713"/>
      <c r="AB17" s="714"/>
      <c r="AC17" s="714"/>
      <c r="AD17" s="13"/>
      <c r="AE17" s="13"/>
      <c r="AF17" s="13"/>
    </row>
    <row r="18" spans="1:32" x14ac:dyDescent="0.2">
      <c r="A18" s="11" t="s">
        <v>72</v>
      </c>
      <c r="B18" s="416">
        <v>51500</v>
      </c>
      <c r="C18" s="418">
        <v>22450</v>
      </c>
      <c r="D18" s="419">
        <v>25650</v>
      </c>
      <c r="E18" s="419">
        <v>28850</v>
      </c>
      <c r="F18" s="419">
        <v>32050</v>
      </c>
      <c r="G18" s="419">
        <v>24650</v>
      </c>
      <c r="H18" s="419">
        <v>37200</v>
      </c>
      <c r="I18" s="419">
        <v>39750</v>
      </c>
      <c r="J18" s="419">
        <v>42350</v>
      </c>
      <c r="K18" s="418">
        <v>35950</v>
      </c>
      <c r="L18" s="419">
        <v>41050</v>
      </c>
      <c r="M18" s="419">
        <v>46200</v>
      </c>
      <c r="N18" s="419">
        <v>51300</v>
      </c>
      <c r="O18" s="419">
        <v>55450</v>
      </c>
      <c r="P18" s="419">
        <v>59550</v>
      </c>
      <c r="Q18" s="419">
        <v>63650</v>
      </c>
      <c r="R18" s="419">
        <v>67750</v>
      </c>
      <c r="S18" s="402">
        <v>228000</v>
      </c>
      <c r="T18" s="400">
        <v>292000</v>
      </c>
      <c r="U18" s="400">
        <v>353000</v>
      </c>
      <c r="V18" s="400">
        <v>438000</v>
      </c>
      <c r="W18" s="403">
        <v>42492</v>
      </c>
      <c r="X18" s="301" t="s">
        <v>72</v>
      </c>
      <c r="Y18" s="392" t="s">
        <v>386</v>
      </c>
      <c r="Z18" s="393">
        <v>2.4</v>
      </c>
      <c r="AA18" s="713"/>
      <c r="AB18" s="714"/>
      <c r="AC18" s="714"/>
      <c r="AD18" s="13"/>
      <c r="AE18" s="13"/>
      <c r="AF18" s="13"/>
    </row>
    <row r="19" spans="1:32" x14ac:dyDescent="0.2">
      <c r="A19" s="11" t="s">
        <v>73</v>
      </c>
      <c r="B19" s="416">
        <v>67000</v>
      </c>
      <c r="C19" s="418">
        <v>23250</v>
      </c>
      <c r="D19" s="419">
        <v>26600</v>
      </c>
      <c r="E19" s="419">
        <v>29900</v>
      </c>
      <c r="F19" s="419">
        <v>33200</v>
      </c>
      <c r="G19" s="419">
        <v>35900</v>
      </c>
      <c r="H19" s="419">
        <v>38550</v>
      </c>
      <c r="I19" s="419">
        <v>41200</v>
      </c>
      <c r="J19" s="419">
        <v>43850</v>
      </c>
      <c r="K19" s="418">
        <v>37200</v>
      </c>
      <c r="L19" s="419">
        <v>42500</v>
      </c>
      <c r="M19" s="419">
        <v>47800</v>
      </c>
      <c r="N19" s="419">
        <v>53100</v>
      </c>
      <c r="O19" s="419">
        <v>57350</v>
      </c>
      <c r="P19" s="419">
        <v>61600</v>
      </c>
      <c r="Q19" s="419">
        <v>65850</v>
      </c>
      <c r="R19" s="419">
        <v>70100</v>
      </c>
      <c r="S19" s="402">
        <v>230000</v>
      </c>
      <c r="T19" s="400">
        <v>295000</v>
      </c>
      <c r="U19" s="400">
        <v>357000</v>
      </c>
      <c r="V19" s="400">
        <v>442000</v>
      </c>
      <c r="W19" s="403">
        <v>42492</v>
      </c>
      <c r="X19" s="301" t="s">
        <v>73</v>
      </c>
      <c r="Y19" s="392" t="s">
        <v>386</v>
      </c>
      <c r="Z19" s="393">
        <v>2.4</v>
      </c>
      <c r="AA19" s="411"/>
      <c r="AB19" s="412"/>
      <c r="AC19" s="412"/>
      <c r="AD19" s="13"/>
      <c r="AE19" s="13"/>
      <c r="AF19" s="13"/>
    </row>
    <row r="20" spans="1:32" x14ac:dyDescent="0.2">
      <c r="A20" s="11" t="s">
        <v>74</v>
      </c>
      <c r="B20" s="416">
        <v>73800</v>
      </c>
      <c r="C20" s="418">
        <v>25850</v>
      </c>
      <c r="D20" s="419">
        <v>29550</v>
      </c>
      <c r="E20" s="419">
        <v>33250</v>
      </c>
      <c r="F20" s="419">
        <v>36900</v>
      </c>
      <c r="G20" s="419">
        <v>39900</v>
      </c>
      <c r="H20" s="419">
        <v>42850</v>
      </c>
      <c r="I20" s="419">
        <v>45800</v>
      </c>
      <c r="J20" s="419">
        <v>48750</v>
      </c>
      <c r="K20" s="418">
        <v>41350</v>
      </c>
      <c r="L20" s="419">
        <v>47250</v>
      </c>
      <c r="M20" s="419">
        <v>53150</v>
      </c>
      <c r="N20" s="419">
        <v>59050</v>
      </c>
      <c r="O20" s="419">
        <v>63800</v>
      </c>
      <c r="P20" s="419">
        <v>68500</v>
      </c>
      <c r="Q20" s="419">
        <v>73250</v>
      </c>
      <c r="R20" s="419">
        <v>77950</v>
      </c>
      <c r="S20" s="402">
        <v>238000</v>
      </c>
      <c r="T20" s="400">
        <v>304000</v>
      </c>
      <c r="U20" s="400">
        <v>368000</v>
      </c>
      <c r="V20" s="400">
        <v>456000</v>
      </c>
      <c r="W20" s="403">
        <v>42492</v>
      </c>
      <c r="X20" s="301" t="s">
        <v>74</v>
      </c>
      <c r="Y20" s="392" t="s">
        <v>386</v>
      </c>
      <c r="Z20" s="393">
        <v>2.4</v>
      </c>
      <c r="AA20" s="411"/>
      <c r="AB20" s="412"/>
      <c r="AC20" s="412"/>
      <c r="AD20" s="13"/>
      <c r="AE20" s="13"/>
      <c r="AF20" s="13"/>
    </row>
    <row r="21" spans="1:32" x14ac:dyDescent="0.2">
      <c r="A21" s="11" t="s">
        <v>75</v>
      </c>
      <c r="B21" s="416">
        <v>47800</v>
      </c>
      <c r="C21" s="418">
        <v>22450</v>
      </c>
      <c r="D21" s="419">
        <v>25650</v>
      </c>
      <c r="E21" s="419">
        <v>28850</v>
      </c>
      <c r="F21" s="419">
        <v>32050</v>
      </c>
      <c r="G21" s="419">
        <v>24650</v>
      </c>
      <c r="H21" s="419">
        <v>37200</v>
      </c>
      <c r="I21" s="419">
        <v>39750</v>
      </c>
      <c r="J21" s="419">
        <v>42350</v>
      </c>
      <c r="K21" s="418">
        <v>35950</v>
      </c>
      <c r="L21" s="419">
        <v>41050</v>
      </c>
      <c r="M21" s="419">
        <v>46200</v>
      </c>
      <c r="N21" s="419">
        <v>51300</v>
      </c>
      <c r="O21" s="419">
        <v>55450</v>
      </c>
      <c r="P21" s="419">
        <v>59550</v>
      </c>
      <c r="Q21" s="419">
        <v>63650</v>
      </c>
      <c r="R21" s="419">
        <v>67750</v>
      </c>
      <c r="S21" s="402">
        <v>228000</v>
      </c>
      <c r="T21" s="400">
        <v>292000</v>
      </c>
      <c r="U21" s="400">
        <v>353000</v>
      </c>
      <c r="V21" s="400">
        <v>438000</v>
      </c>
      <c r="W21" s="403">
        <v>42492</v>
      </c>
      <c r="X21" s="301" t="s">
        <v>75</v>
      </c>
      <c r="Y21" s="392" t="s">
        <v>388</v>
      </c>
      <c r="Z21" s="393">
        <v>2.4</v>
      </c>
      <c r="AA21" s="411"/>
      <c r="AB21" s="412"/>
      <c r="AC21" s="412"/>
      <c r="AD21" s="13"/>
      <c r="AE21" s="13"/>
      <c r="AF21" s="13"/>
    </row>
    <row r="22" spans="1:32" x14ac:dyDescent="0.2">
      <c r="A22" s="11" t="s">
        <v>76</v>
      </c>
      <c r="B22" s="416">
        <v>60000</v>
      </c>
      <c r="C22" s="418">
        <v>22450</v>
      </c>
      <c r="D22" s="419">
        <v>25650</v>
      </c>
      <c r="E22" s="419">
        <v>28850</v>
      </c>
      <c r="F22" s="419">
        <v>32050</v>
      </c>
      <c r="G22" s="419">
        <v>24650</v>
      </c>
      <c r="H22" s="419">
        <v>37200</v>
      </c>
      <c r="I22" s="419">
        <v>39750</v>
      </c>
      <c r="J22" s="419">
        <v>42350</v>
      </c>
      <c r="K22" s="418">
        <v>35950</v>
      </c>
      <c r="L22" s="419">
        <v>41050</v>
      </c>
      <c r="M22" s="419">
        <v>46200</v>
      </c>
      <c r="N22" s="419">
        <v>51300</v>
      </c>
      <c r="O22" s="419">
        <v>55450</v>
      </c>
      <c r="P22" s="419">
        <v>59550</v>
      </c>
      <c r="Q22" s="419">
        <v>63650</v>
      </c>
      <c r="R22" s="419">
        <v>67750</v>
      </c>
      <c r="S22" s="402">
        <v>228000</v>
      </c>
      <c r="T22" s="400">
        <v>292000</v>
      </c>
      <c r="U22" s="400">
        <v>353000</v>
      </c>
      <c r="V22" s="400">
        <v>438000</v>
      </c>
      <c r="W22" s="403">
        <v>42492</v>
      </c>
      <c r="X22" s="301" t="s">
        <v>76</v>
      </c>
      <c r="Y22" s="392" t="s">
        <v>386</v>
      </c>
      <c r="Z22" s="393">
        <v>2.4</v>
      </c>
      <c r="AA22" s="411"/>
      <c r="AB22" s="412"/>
      <c r="AC22" s="412"/>
      <c r="AD22" s="13"/>
      <c r="AE22" s="13"/>
      <c r="AF22" s="13"/>
    </row>
    <row r="23" spans="1:32" x14ac:dyDescent="0.2">
      <c r="A23" s="11" t="s">
        <v>77</v>
      </c>
      <c r="B23" s="416">
        <v>55400</v>
      </c>
      <c r="C23" s="418">
        <v>22450</v>
      </c>
      <c r="D23" s="419">
        <v>25650</v>
      </c>
      <c r="E23" s="419">
        <v>28850</v>
      </c>
      <c r="F23" s="419">
        <v>32050</v>
      </c>
      <c r="G23" s="419">
        <v>24650</v>
      </c>
      <c r="H23" s="419">
        <v>37200</v>
      </c>
      <c r="I23" s="419">
        <v>39750</v>
      </c>
      <c r="J23" s="419">
        <v>42350</v>
      </c>
      <c r="K23" s="418">
        <v>35950</v>
      </c>
      <c r="L23" s="419">
        <v>41050</v>
      </c>
      <c r="M23" s="419">
        <v>46200</v>
      </c>
      <c r="N23" s="419">
        <v>51300</v>
      </c>
      <c r="O23" s="419">
        <v>55450</v>
      </c>
      <c r="P23" s="419">
        <v>59550</v>
      </c>
      <c r="Q23" s="419">
        <v>63650</v>
      </c>
      <c r="R23" s="419">
        <v>67750</v>
      </c>
      <c r="S23" s="402">
        <v>228000</v>
      </c>
      <c r="T23" s="400">
        <v>292000</v>
      </c>
      <c r="U23" s="400">
        <v>353000</v>
      </c>
      <c r="V23" s="400">
        <v>438000</v>
      </c>
      <c r="W23" s="403">
        <v>42492</v>
      </c>
      <c r="X23" s="301" t="s">
        <v>77</v>
      </c>
      <c r="Y23" s="392" t="s">
        <v>386</v>
      </c>
      <c r="Z23" s="393">
        <v>2.4</v>
      </c>
      <c r="AA23" s="411"/>
      <c r="AB23" s="412"/>
      <c r="AC23" s="412"/>
      <c r="AD23" s="13"/>
      <c r="AE23" s="13"/>
      <c r="AF23" s="13"/>
    </row>
    <row r="24" spans="1:32" x14ac:dyDescent="0.2">
      <c r="A24" s="11" t="s">
        <v>78</v>
      </c>
      <c r="B24" s="416">
        <v>98400</v>
      </c>
      <c r="C24" s="418">
        <v>34450</v>
      </c>
      <c r="D24" s="419">
        <v>39400</v>
      </c>
      <c r="E24" s="419">
        <v>44300</v>
      </c>
      <c r="F24" s="419">
        <v>49200</v>
      </c>
      <c r="G24" s="419">
        <v>53150</v>
      </c>
      <c r="H24" s="419">
        <v>57100</v>
      </c>
      <c r="I24" s="419">
        <v>61050</v>
      </c>
      <c r="J24" s="419">
        <v>64950</v>
      </c>
      <c r="K24" s="418">
        <v>46000</v>
      </c>
      <c r="L24" s="419">
        <v>52600</v>
      </c>
      <c r="M24" s="419">
        <v>59150</v>
      </c>
      <c r="N24" s="419">
        <v>65700</v>
      </c>
      <c r="O24" s="419">
        <v>71000</v>
      </c>
      <c r="P24" s="419">
        <v>76250</v>
      </c>
      <c r="Q24" s="419">
        <v>81500</v>
      </c>
      <c r="R24" s="419">
        <v>86750</v>
      </c>
      <c r="S24" s="402">
        <v>376000</v>
      </c>
      <c r="T24" s="400">
        <v>482000</v>
      </c>
      <c r="U24" s="400">
        <v>583000</v>
      </c>
      <c r="V24" s="400">
        <v>722000</v>
      </c>
      <c r="W24" s="403">
        <v>42492</v>
      </c>
      <c r="X24" s="301" t="s">
        <v>78</v>
      </c>
      <c r="Y24" s="392" t="s">
        <v>387</v>
      </c>
      <c r="Z24" s="393">
        <v>2.4</v>
      </c>
      <c r="AA24" s="16"/>
      <c r="AB24" s="13"/>
      <c r="AC24" s="13"/>
      <c r="AD24" s="13"/>
      <c r="AE24" s="13"/>
      <c r="AF24" s="13"/>
    </row>
    <row r="25" spans="1:32" x14ac:dyDescent="0.2">
      <c r="A25" s="11" t="s">
        <v>79</v>
      </c>
      <c r="B25" s="416">
        <v>67900</v>
      </c>
      <c r="C25" s="418">
        <v>23950</v>
      </c>
      <c r="D25" s="419">
        <v>27400</v>
      </c>
      <c r="E25" s="419">
        <v>30800</v>
      </c>
      <c r="F25" s="419">
        <v>34200</v>
      </c>
      <c r="G25" s="419">
        <v>36950</v>
      </c>
      <c r="H25" s="421">
        <v>39700</v>
      </c>
      <c r="I25" s="419">
        <v>42450</v>
      </c>
      <c r="J25" s="419">
        <v>45150</v>
      </c>
      <c r="K25" s="418">
        <v>38350</v>
      </c>
      <c r="L25" s="419">
        <v>43800</v>
      </c>
      <c r="M25" s="419">
        <v>49300</v>
      </c>
      <c r="N25" s="419">
        <v>54750</v>
      </c>
      <c r="O25" s="419">
        <v>59150</v>
      </c>
      <c r="P25" s="419">
        <v>63550</v>
      </c>
      <c r="Q25" s="419">
        <v>67900</v>
      </c>
      <c r="R25" s="419">
        <v>72300</v>
      </c>
      <c r="S25" s="402">
        <v>228000</v>
      </c>
      <c r="T25" s="400">
        <v>292000</v>
      </c>
      <c r="U25" s="400">
        <v>353000</v>
      </c>
      <c r="V25" s="400">
        <v>438000</v>
      </c>
      <c r="W25" s="403">
        <v>42492</v>
      </c>
      <c r="X25" s="301" t="s">
        <v>79</v>
      </c>
      <c r="Y25" s="392" t="s">
        <v>386</v>
      </c>
      <c r="Z25" s="393">
        <v>2.4</v>
      </c>
      <c r="AA25" s="16"/>
      <c r="AB25" s="13"/>
      <c r="AC25" s="13"/>
      <c r="AD25" s="13"/>
      <c r="AE25" s="13"/>
      <c r="AF25" s="13"/>
    </row>
    <row r="26" spans="1:32" x14ac:dyDescent="0.2">
      <c r="A26" s="11" t="s">
        <v>80</v>
      </c>
      <c r="B26" s="416">
        <v>67700</v>
      </c>
      <c r="C26" s="418">
        <v>23700</v>
      </c>
      <c r="D26" s="419">
        <v>27100</v>
      </c>
      <c r="E26" s="419">
        <v>30500</v>
      </c>
      <c r="F26" s="419">
        <v>33850</v>
      </c>
      <c r="G26" s="419">
        <v>36600</v>
      </c>
      <c r="H26" s="419">
        <v>39300</v>
      </c>
      <c r="I26" s="419">
        <v>42000</v>
      </c>
      <c r="J26" s="419">
        <v>44700</v>
      </c>
      <c r="K26" s="418">
        <v>37950</v>
      </c>
      <c r="L26" s="419">
        <v>43350</v>
      </c>
      <c r="M26" s="419">
        <v>48750</v>
      </c>
      <c r="N26" s="419">
        <v>54150</v>
      </c>
      <c r="O26" s="419">
        <v>58500</v>
      </c>
      <c r="P26" s="419">
        <v>62850</v>
      </c>
      <c r="Q26" s="419">
        <v>67150</v>
      </c>
      <c r="R26" s="419">
        <v>71500</v>
      </c>
      <c r="S26" s="402">
        <v>228000</v>
      </c>
      <c r="T26" s="400">
        <v>292000</v>
      </c>
      <c r="U26" s="400">
        <v>353000</v>
      </c>
      <c r="V26" s="400">
        <v>438000</v>
      </c>
      <c r="W26" s="403">
        <v>42492</v>
      </c>
      <c r="X26" s="301" t="s">
        <v>80</v>
      </c>
      <c r="Y26" s="392" t="s">
        <v>387</v>
      </c>
      <c r="Z26" s="393">
        <v>2.4</v>
      </c>
      <c r="AA26" s="16"/>
      <c r="AB26" s="13"/>
      <c r="AC26" s="13"/>
      <c r="AD26" s="13"/>
      <c r="AE26" s="13"/>
      <c r="AF26" s="13"/>
    </row>
    <row r="27" spans="1:32" x14ac:dyDescent="0.2">
      <c r="A27" s="12" t="s">
        <v>81</v>
      </c>
      <c r="B27" s="416">
        <v>67600</v>
      </c>
      <c r="C27" s="418">
        <v>23700</v>
      </c>
      <c r="D27" s="419">
        <v>27050</v>
      </c>
      <c r="E27" s="419">
        <v>30450</v>
      </c>
      <c r="F27" s="419">
        <v>33800</v>
      </c>
      <c r="G27" s="419">
        <v>36550</v>
      </c>
      <c r="H27" s="419">
        <v>39250</v>
      </c>
      <c r="I27" s="419">
        <v>41950</v>
      </c>
      <c r="J27" s="419">
        <v>44650</v>
      </c>
      <c r="K27" s="418">
        <v>37900</v>
      </c>
      <c r="L27" s="419">
        <v>43300</v>
      </c>
      <c r="M27" s="419">
        <v>48700</v>
      </c>
      <c r="N27" s="419">
        <v>54100</v>
      </c>
      <c r="O27" s="419">
        <v>58450</v>
      </c>
      <c r="P27" s="419">
        <v>62800</v>
      </c>
      <c r="Q27" s="419">
        <v>67100</v>
      </c>
      <c r="R27" s="419">
        <v>71450</v>
      </c>
      <c r="S27" s="402">
        <v>234000</v>
      </c>
      <c r="T27" s="400">
        <v>299000</v>
      </c>
      <c r="U27" s="400">
        <v>362000</v>
      </c>
      <c r="V27" s="400">
        <v>448000</v>
      </c>
      <c r="W27" s="403">
        <v>42492</v>
      </c>
      <c r="X27" s="302" t="s">
        <v>81</v>
      </c>
      <c r="Y27" s="392" t="s">
        <v>386</v>
      </c>
      <c r="Z27" s="393">
        <v>2.4</v>
      </c>
      <c r="AA27" s="16"/>
      <c r="AB27" s="13"/>
      <c r="AC27" s="13"/>
      <c r="AD27" s="13"/>
      <c r="AE27" s="13"/>
      <c r="AF27" s="13"/>
    </row>
    <row r="28" spans="1:32" x14ac:dyDescent="0.2">
      <c r="A28" s="12" t="s">
        <v>82</v>
      </c>
      <c r="B28" s="416">
        <v>72200</v>
      </c>
      <c r="C28" s="418">
        <v>25300</v>
      </c>
      <c r="D28" s="419">
        <v>28900</v>
      </c>
      <c r="E28" s="419">
        <v>32500</v>
      </c>
      <c r="F28" s="419">
        <v>36100</v>
      </c>
      <c r="G28" s="419">
        <v>39000</v>
      </c>
      <c r="H28" s="419">
        <v>41900</v>
      </c>
      <c r="I28" s="419">
        <v>44800</v>
      </c>
      <c r="J28" s="419">
        <v>47700</v>
      </c>
      <c r="K28" s="418">
        <v>40450</v>
      </c>
      <c r="L28" s="419">
        <v>46200</v>
      </c>
      <c r="M28" s="419">
        <v>52000</v>
      </c>
      <c r="N28" s="419">
        <v>57750</v>
      </c>
      <c r="O28" s="419">
        <v>62400</v>
      </c>
      <c r="P28" s="419">
        <v>67000</v>
      </c>
      <c r="Q28" s="419">
        <v>71650</v>
      </c>
      <c r="R28" s="419">
        <v>76250</v>
      </c>
      <c r="S28" s="402">
        <v>266000</v>
      </c>
      <c r="T28" s="400">
        <v>340000</v>
      </c>
      <c r="U28" s="400">
        <v>412000</v>
      </c>
      <c r="V28" s="400">
        <v>511000</v>
      </c>
      <c r="W28" s="403">
        <v>42492</v>
      </c>
      <c r="X28" s="302" t="s">
        <v>82</v>
      </c>
      <c r="Y28" s="392" t="s">
        <v>387</v>
      </c>
      <c r="Z28" s="393">
        <v>2.4</v>
      </c>
      <c r="AA28" s="16"/>
      <c r="AB28" s="13"/>
      <c r="AC28" s="13"/>
      <c r="AD28" s="13"/>
      <c r="AE28" s="13"/>
      <c r="AF28" s="13"/>
    </row>
    <row r="29" spans="1:32" x14ac:dyDescent="0.2">
      <c r="A29" s="12" t="s">
        <v>83</v>
      </c>
      <c r="B29" s="416">
        <v>59600</v>
      </c>
      <c r="C29" s="418">
        <v>22450</v>
      </c>
      <c r="D29" s="419">
        <v>25650</v>
      </c>
      <c r="E29" s="419">
        <v>28850</v>
      </c>
      <c r="F29" s="419">
        <v>32050</v>
      </c>
      <c r="G29" s="419">
        <v>24650</v>
      </c>
      <c r="H29" s="419">
        <v>37200</v>
      </c>
      <c r="I29" s="419">
        <v>39750</v>
      </c>
      <c r="J29" s="419">
        <v>42350</v>
      </c>
      <c r="K29" s="418">
        <v>35950</v>
      </c>
      <c r="L29" s="419">
        <v>41050</v>
      </c>
      <c r="M29" s="419">
        <v>46200</v>
      </c>
      <c r="N29" s="419">
        <v>51300</v>
      </c>
      <c r="O29" s="419">
        <v>55450</v>
      </c>
      <c r="P29" s="419">
        <v>59550</v>
      </c>
      <c r="Q29" s="419">
        <v>63650</v>
      </c>
      <c r="R29" s="419">
        <v>67750</v>
      </c>
      <c r="S29" s="402">
        <v>228000</v>
      </c>
      <c r="T29" s="400">
        <v>292000</v>
      </c>
      <c r="U29" s="400">
        <v>353000</v>
      </c>
      <c r="V29" s="400">
        <v>438000</v>
      </c>
      <c r="W29" s="403">
        <v>42492</v>
      </c>
      <c r="X29" s="302" t="s">
        <v>83</v>
      </c>
      <c r="Y29" s="392" t="s">
        <v>388</v>
      </c>
      <c r="Z29" s="393">
        <v>2.4</v>
      </c>
      <c r="AA29" s="16"/>
      <c r="AB29" s="13"/>
      <c r="AC29" s="13"/>
      <c r="AD29" s="13"/>
      <c r="AE29" s="13"/>
      <c r="AF29" s="13"/>
    </row>
    <row r="30" spans="1:32" x14ac:dyDescent="0.2">
      <c r="A30" s="12" t="s">
        <v>84</v>
      </c>
      <c r="B30" s="416">
        <v>49400</v>
      </c>
      <c r="C30" s="418">
        <v>22450</v>
      </c>
      <c r="D30" s="419">
        <v>25650</v>
      </c>
      <c r="E30" s="419">
        <v>28850</v>
      </c>
      <c r="F30" s="419">
        <v>32050</v>
      </c>
      <c r="G30" s="419">
        <v>24650</v>
      </c>
      <c r="H30" s="419">
        <v>37200</v>
      </c>
      <c r="I30" s="419">
        <v>39750</v>
      </c>
      <c r="J30" s="419">
        <v>42350</v>
      </c>
      <c r="K30" s="418">
        <v>35950</v>
      </c>
      <c r="L30" s="419">
        <v>41050</v>
      </c>
      <c r="M30" s="419">
        <v>46200</v>
      </c>
      <c r="N30" s="419">
        <v>51300</v>
      </c>
      <c r="O30" s="419">
        <v>55450</v>
      </c>
      <c r="P30" s="419">
        <v>59550</v>
      </c>
      <c r="Q30" s="419">
        <v>63650</v>
      </c>
      <c r="R30" s="419">
        <v>67750</v>
      </c>
      <c r="S30" s="402">
        <v>228000</v>
      </c>
      <c r="T30" s="400">
        <v>292000</v>
      </c>
      <c r="U30" s="400">
        <v>353000</v>
      </c>
      <c r="V30" s="400">
        <v>438000</v>
      </c>
      <c r="W30" s="403">
        <v>42492</v>
      </c>
      <c r="X30" s="302" t="s">
        <v>84</v>
      </c>
      <c r="Y30" s="392" t="s">
        <v>386</v>
      </c>
      <c r="Z30" s="393">
        <v>2.4</v>
      </c>
      <c r="AA30" s="16"/>
      <c r="AB30" s="13"/>
      <c r="AC30" s="13"/>
      <c r="AD30" s="13"/>
      <c r="AE30" s="13"/>
      <c r="AF30" s="13"/>
    </row>
    <row r="31" spans="1:32" x14ac:dyDescent="0.2">
      <c r="A31" s="19" t="s">
        <v>85</v>
      </c>
      <c r="B31" s="417">
        <v>73000</v>
      </c>
      <c r="C31" s="422">
        <v>25550</v>
      </c>
      <c r="D31" s="423">
        <v>29200</v>
      </c>
      <c r="E31" s="423">
        <v>32850</v>
      </c>
      <c r="F31" s="423">
        <v>26500</v>
      </c>
      <c r="G31" s="423">
        <v>39450</v>
      </c>
      <c r="H31" s="423">
        <v>42350</v>
      </c>
      <c r="I31" s="423">
        <v>45300</v>
      </c>
      <c r="J31" s="423">
        <v>48200</v>
      </c>
      <c r="K31" s="422">
        <v>40900</v>
      </c>
      <c r="L31" s="423">
        <v>46750</v>
      </c>
      <c r="M31" s="423">
        <v>52600</v>
      </c>
      <c r="N31" s="423">
        <v>58400</v>
      </c>
      <c r="O31" s="423">
        <v>63100</v>
      </c>
      <c r="P31" s="423">
        <v>67750</v>
      </c>
      <c r="Q31" s="423">
        <v>72450</v>
      </c>
      <c r="R31" s="427">
        <v>77100</v>
      </c>
      <c r="S31" s="404">
        <v>228000</v>
      </c>
      <c r="T31" s="405">
        <v>292000</v>
      </c>
      <c r="U31" s="405">
        <v>353000</v>
      </c>
      <c r="V31" s="405">
        <v>438000</v>
      </c>
      <c r="W31" s="406">
        <v>42492</v>
      </c>
      <c r="X31" s="303" t="s">
        <v>85</v>
      </c>
      <c r="Y31" s="394" t="s">
        <v>386</v>
      </c>
      <c r="Z31" s="395">
        <v>2.4</v>
      </c>
      <c r="AA31" s="16"/>
      <c r="AB31" s="13"/>
      <c r="AC31" s="13"/>
      <c r="AD31" s="13"/>
      <c r="AE31" s="13"/>
      <c r="AF31" s="13"/>
    </row>
    <row r="32" spans="1:32" x14ac:dyDescent="0.2">
      <c r="A32" s="21" t="s">
        <v>62</v>
      </c>
      <c r="B32" s="22">
        <v>42461</v>
      </c>
      <c r="C32" s="681">
        <v>42527</v>
      </c>
      <c r="D32" s="681"/>
      <c r="E32"/>
      <c r="F32"/>
      <c r="G32"/>
      <c r="H32"/>
      <c r="I32"/>
      <c r="J32"/>
      <c r="K32" s="681">
        <v>42527</v>
      </c>
      <c r="L32" s="681"/>
      <c r="M32"/>
      <c r="N32"/>
      <c r="O32"/>
      <c r="P32"/>
      <c r="Q32"/>
      <c r="R32"/>
      <c r="S32" s="712">
        <v>42492</v>
      </c>
      <c r="T32" s="712"/>
      <c r="U32" s="374"/>
      <c r="V32" s="374"/>
      <c r="W32" s="374"/>
      <c r="X32" s="698">
        <v>42326</v>
      </c>
      <c r="Y32" s="698"/>
      <c r="AA32" s="293"/>
    </row>
    <row r="34" spans="1:29" x14ac:dyDescent="0.2">
      <c r="A34" s="3">
        <v>2016</v>
      </c>
      <c r="B34" s="28" t="s">
        <v>881</v>
      </c>
      <c r="C34" s="694" t="s">
        <v>866</v>
      </c>
      <c r="D34" s="695"/>
      <c r="E34" s="695"/>
      <c r="F34" s="695"/>
      <c r="G34" s="695"/>
      <c r="H34" s="696"/>
      <c r="J34" s="694" t="s">
        <v>879</v>
      </c>
      <c r="K34" s="695"/>
      <c r="L34" s="695"/>
      <c r="M34" s="695"/>
      <c r="N34" s="695"/>
      <c r="O34" s="696"/>
      <c r="Q34" s="694" t="s">
        <v>880</v>
      </c>
      <c r="R34" s="695"/>
      <c r="S34" s="695"/>
      <c r="T34" s="695"/>
      <c r="U34" s="695"/>
      <c r="V34" s="696"/>
      <c r="X34" s="694" t="s">
        <v>514</v>
      </c>
      <c r="Y34" s="695"/>
      <c r="Z34" s="695"/>
      <c r="AA34" s="695"/>
      <c r="AB34" s="695"/>
      <c r="AC34" s="696"/>
    </row>
    <row r="35" spans="1:29" x14ac:dyDescent="0.2">
      <c r="A35" s="396" t="s">
        <v>55</v>
      </c>
      <c r="B35" s="428">
        <v>6354</v>
      </c>
      <c r="C35" s="697" t="str">
        <f>IF(Application!A911="","",IF(Application!A911="Select one","",Application!A911))</f>
        <v/>
      </c>
      <c r="D35" s="684"/>
      <c r="E35" s="684"/>
      <c r="F35" s="684"/>
      <c r="G35" s="684"/>
      <c r="H35" s="685"/>
      <c r="J35" s="697" t="str">
        <f>IF(Application!H912="","",IF(Application!H912="Select one","",Application!H912))</f>
        <v/>
      </c>
      <c r="K35" s="684"/>
      <c r="L35" s="684"/>
      <c r="M35" s="684"/>
      <c r="N35" s="684"/>
      <c r="O35" s="685"/>
      <c r="Q35" s="697"/>
      <c r="R35" s="684"/>
      <c r="S35" s="684"/>
      <c r="T35" s="684"/>
      <c r="U35" s="684"/>
      <c r="V35" s="685"/>
      <c r="X35" s="697" t="str">
        <f>IF(Application!A914="","",IF(Application!A914="Select one","",Application!A914))</f>
        <v/>
      </c>
      <c r="Y35" s="684"/>
      <c r="Z35" s="684"/>
      <c r="AA35" s="684"/>
      <c r="AB35" s="684"/>
      <c r="AC35" s="685"/>
    </row>
    <row r="36" spans="1:29" x14ac:dyDescent="0.2">
      <c r="A36" s="397" t="s">
        <v>56</v>
      </c>
      <c r="B36" s="429">
        <v>52097</v>
      </c>
      <c r="C36" s="88" t="s">
        <v>869</v>
      </c>
      <c r="D36" s="87"/>
      <c r="E36" s="89">
        <f>Application!F911</f>
        <v>0</v>
      </c>
      <c r="F36" s="87"/>
      <c r="G36" s="684" t="s">
        <v>878</v>
      </c>
      <c r="H36" s="685"/>
      <c r="J36" s="88" t="s">
        <v>869</v>
      </c>
      <c r="K36" s="87"/>
      <c r="L36" s="89">
        <f>Application!F912</f>
        <v>0</v>
      </c>
      <c r="M36" s="87"/>
      <c r="N36" s="684" t="s">
        <v>878</v>
      </c>
      <c r="O36" s="685"/>
      <c r="Q36" s="88" t="s">
        <v>869</v>
      </c>
      <c r="R36" s="87"/>
      <c r="S36" s="89">
        <f>Application!F913</f>
        <v>0.05</v>
      </c>
      <c r="T36" s="87"/>
      <c r="U36" s="684" t="s">
        <v>878</v>
      </c>
      <c r="V36" s="685"/>
      <c r="X36" s="88" t="s">
        <v>869</v>
      </c>
      <c r="Y36" s="87"/>
      <c r="Z36" s="89">
        <f>Application!F914</f>
        <v>0</v>
      </c>
      <c r="AA36" s="87"/>
      <c r="AB36" s="684" t="s">
        <v>878</v>
      </c>
      <c r="AC36" s="685"/>
    </row>
    <row r="37" spans="1:29" x14ac:dyDescent="0.2">
      <c r="A37" s="397" t="s">
        <v>57</v>
      </c>
      <c r="B37" s="429">
        <v>120783</v>
      </c>
      <c r="C37" s="88" t="s">
        <v>870</v>
      </c>
      <c r="D37" s="87"/>
      <c r="E37" s="90">
        <f>(Application!G911)/12</f>
        <v>0</v>
      </c>
      <c r="F37" s="91" t="s">
        <v>516</v>
      </c>
      <c r="G37" s="707">
        <f>Application!D911</f>
        <v>0</v>
      </c>
      <c r="H37" s="708"/>
      <c r="J37" s="88" t="s">
        <v>870</v>
      </c>
      <c r="K37" s="87"/>
      <c r="L37" s="90">
        <f>(Application!G912)/12</f>
        <v>0</v>
      </c>
      <c r="M37" s="91" t="s">
        <v>516</v>
      </c>
      <c r="N37" s="707">
        <f>Application!D912</f>
        <v>0</v>
      </c>
      <c r="O37" s="708"/>
      <c r="Q37" s="88" t="s">
        <v>870</v>
      </c>
      <c r="R37" s="87"/>
      <c r="S37" s="90">
        <f>(Application!G913)/12</f>
        <v>0</v>
      </c>
      <c r="T37" s="91" t="s">
        <v>516</v>
      </c>
      <c r="U37" s="707">
        <f>Application!D913</f>
        <v>0</v>
      </c>
      <c r="V37" s="708"/>
      <c r="X37" s="88" t="s">
        <v>870</v>
      </c>
      <c r="Y37" s="87"/>
      <c r="Z37" s="90">
        <f>(Application!G914)/12</f>
        <v>0</v>
      </c>
      <c r="AA37" s="91" t="s">
        <v>516</v>
      </c>
      <c r="AB37" s="707">
        <f>Application!D914</f>
        <v>0</v>
      </c>
      <c r="AC37" s="708"/>
    </row>
    <row r="38" spans="1:29" x14ac:dyDescent="0.2">
      <c r="A38" s="397" t="s">
        <v>58</v>
      </c>
      <c r="B38" s="429">
        <v>20479</v>
      </c>
      <c r="C38" s="88" t="s">
        <v>871</v>
      </c>
      <c r="D38" s="87"/>
      <c r="E38" s="38" t="str">
        <f>IF(F38="Int-Only",2,IF(F38="Deferred",3,IF(F38="Cash Flow",4,"1")))</f>
        <v>1</v>
      </c>
      <c r="F38" s="92">
        <f>IF(Application!H911="Select one","",Application!H911)</f>
        <v>0</v>
      </c>
      <c r="G38" s="684" t="s">
        <v>877</v>
      </c>
      <c r="H38" s="685"/>
      <c r="J38" s="88" t="s">
        <v>871</v>
      </c>
      <c r="K38" s="87"/>
      <c r="L38" s="38" t="str">
        <f>IF(M38="Int-Only",2,IF(M38="Deferred",3,IF(M38="Cash Flow",4,"1")))</f>
        <v>1</v>
      </c>
      <c r="M38" s="92">
        <f>IF(Application!H912="Select one","",Application!H912)</f>
        <v>0</v>
      </c>
      <c r="N38" s="684" t="s">
        <v>877</v>
      </c>
      <c r="O38" s="685"/>
      <c r="Q38" s="88" t="s">
        <v>871</v>
      </c>
      <c r="R38" s="87"/>
      <c r="S38" s="38" t="str">
        <f>IF(T38="Int-Only",2,IF(T38="Deferred",3,IF(T38="Cash Flow",4,"1")))</f>
        <v>1</v>
      </c>
      <c r="T38" s="92" t="str">
        <f>IF(Application!H913="Select one","",Application!H913)</f>
        <v>Grant</v>
      </c>
      <c r="U38" s="684" t="s">
        <v>877</v>
      </c>
      <c r="V38" s="685"/>
      <c r="X38" s="88" t="s">
        <v>871</v>
      </c>
      <c r="Y38" s="87"/>
      <c r="Z38" s="38" t="str">
        <f>IF(AA38="Int-Only",2,IF(AA38="Deferred",3,IF(AA38="Cash Flow",4,"1")))</f>
        <v>1</v>
      </c>
      <c r="AA38" s="92">
        <f>IF(Application!H914="Select one","",Application!H914)</f>
        <v>0</v>
      </c>
      <c r="AB38" s="684" t="s">
        <v>877</v>
      </c>
      <c r="AC38" s="685"/>
    </row>
    <row r="39" spans="1:29" x14ac:dyDescent="0.2">
      <c r="A39" s="397" t="s">
        <v>59</v>
      </c>
      <c r="B39" s="429">
        <v>1109</v>
      </c>
      <c r="C39" s="93"/>
      <c r="D39" s="85"/>
      <c r="E39" s="38"/>
      <c r="F39" s="85"/>
      <c r="G39" s="707" t="str">
        <f>IF(G37=0,"$0.00",IF(E38=4,"$0.00",IF(E38=3,"$0.00",IF(E38=2,"Int Only",PMT(E36/12,E37*12,-G37)))))</f>
        <v>$0.00</v>
      </c>
      <c r="H39" s="708"/>
      <c r="J39" s="93"/>
      <c r="K39" s="85"/>
      <c r="L39" s="38"/>
      <c r="M39" s="85"/>
      <c r="N39" s="707" t="str">
        <f>IF(N37=0,"$0.00",IF(L38=4,"$0.00",PMT(L36/12,L37*12,-N37)))</f>
        <v>$0.00</v>
      </c>
      <c r="O39" s="708"/>
      <c r="Q39" s="93"/>
      <c r="R39" s="85"/>
      <c r="S39" s="38"/>
      <c r="T39" s="85"/>
      <c r="U39" s="707" t="str">
        <f>IF(U37=0,"$0.00",IF(S38=4,"$0.00",IF(S38=3,"$0.00",IF(S38=2,"Int Only",PMT(S36/12,S37*12,-U37)))))</f>
        <v>$0.00</v>
      </c>
      <c r="V39" s="708"/>
      <c r="X39" s="93"/>
      <c r="Y39" s="85"/>
      <c r="Z39" s="38"/>
      <c r="AA39" s="85"/>
      <c r="AB39" s="707" t="str">
        <f>IF(AB37=0,"$0.00",IF(Z38=4,"$0.00",IF(Z38=3,"$0.00",IF(Z38=2,"Int Only",PMT(Z36/12,Z37*12,-AB37)))))</f>
        <v>$0.00</v>
      </c>
      <c r="AC39" s="708"/>
    </row>
    <row r="40" spans="1:29" ht="13.5" thickBot="1" x14ac:dyDescent="0.25">
      <c r="A40" s="397" t="s">
        <v>61</v>
      </c>
      <c r="B40" s="429">
        <v>336043</v>
      </c>
      <c r="C40" s="94" t="s">
        <v>803</v>
      </c>
      <c r="D40" s="84" t="s">
        <v>804</v>
      </c>
      <c r="E40" s="84" t="s">
        <v>805</v>
      </c>
      <c r="F40" s="84" t="s">
        <v>806</v>
      </c>
      <c r="G40" s="705" t="s">
        <v>867</v>
      </c>
      <c r="H40" s="706"/>
      <c r="J40" s="94" t="s">
        <v>803</v>
      </c>
      <c r="K40" s="84" t="s">
        <v>804</v>
      </c>
      <c r="L40" s="84" t="s">
        <v>805</v>
      </c>
      <c r="M40" s="84" t="s">
        <v>806</v>
      </c>
      <c r="N40" s="705" t="s">
        <v>867</v>
      </c>
      <c r="O40" s="706"/>
      <c r="Q40" s="94" t="s">
        <v>803</v>
      </c>
      <c r="R40" s="84" t="s">
        <v>804</v>
      </c>
      <c r="S40" s="84" t="s">
        <v>805</v>
      </c>
      <c r="T40" s="84" t="s">
        <v>806</v>
      </c>
      <c r="U40" s="705" t="s">
        <v>867</v>
      </c>
      <c r="V40" s="706"/>
      <c r="X40" s="94" t="s">
        <v>803</v>
      </c>
      <c r="Y40" s="84" t="s">
        <v>804</v>
      </c>
      <c r="Z40" s="84" t="s">
        <v>805</v>
      </c>
      <c r="AA40" s="84" t="s">
        <v>806</v>
      </c>
      <c r="AB40" s="705" t="s">
        <v>867</v>
      </c>
      <c r="AC40" s="706"/>
    </row>
    <row r="41" spans="1:29" x14ac:dyDescent="0.2">
      <c r="A41" s="397" t="s">
        <v>63</v>
      </c>
      <c r="B41" s="429">
        <v>20862</v>
      </c>
      <c r="C41" s="701" t="s">
        <v>868</v>
      </c>
      <c r="D41" s="702"/>
      <c r="E41" s="702"/>
      <c r="F41" s="702"/>
      <c r="G41" s="703">
        <f>G37</f>
        <v>0</v>
      </c>
      <c r="H41" s="704"/>
      <c r="J41" s="701" t="s">
        <v>868</v>
      </c>
      <c r="K41" s="702"/>
      <c r="L41" s="702"/>
      <c r="M41" s="702"/>
      <c r="N41" s="703">
        <f>N37</f>
        <v>0</v>
      </c>
      <c r="O41" s="704"/>
      <c r="Q41" s="701" t="s">
        <v>868</v>
      </c>
      <c r="R41" s="702"/>
      <c r="S41" s="702"/>
      <c r="T41" s="702"/>
      <c r="U41" s="703">
        <f>U37</f>
        <v>0</v>
      </c>
      <c r="V41" s="704"/>
      <c r="X41" s="701" t="s">
        <v>868</v>
      </c>
      <c r="Y41" s="702"/>
      <c r="Z41" s="702"/>
      <c r="AA41" s="702"/>
      <c r="AB41" s="703">
        <f>AB37</f>
        <v>0</v>
      </c>
      <c r="AC41" s="704"/>
    </row>
    <row r="42" spans="1:29" x14ac:dyDescent="0.2">
      <c r="A42" s="397" t="s">
        <v>64</v>
      </c>
      <c r="B42" s="429">
        <v>10370</v>
      </c>
      <c r="C42" s="95">
        <v>1</v>
      </c>
      <c r="D42" s="101" t="str">
        <f t="shared" ref="D42:D53" si="0">IF(G41&gt;0,G41*($E$36)/12,"$0.00")</f>
        <v>$0.00</v>
      </c>
      <c r="E42" s="101" t="str">
        <f t="shared" ref="E42:E53" si="1">IF(G41&gt;0,IF($E$38=4,"$0.00",IF($E$38=3,"$0.00",IF($E$38=2,"$0.00",+$G$39-D42))),"$0.00")</f>
        <v>$0.00</v>
      </c>
      <c r="F42" s="101" t="str">
        <f t="shared" ref="F42:F53" si="2">IF(G41=0,"$0.00",IF($E$38=4,"$0.00",IF($E$38=3,"$0.00",IF($E$38=2,D42,D42+E42))))</f>
        <v>$0.00</v>
      </c>
      <c r="G42" s="688" t="str">
        <f t="shared" ref="G42:G53" si="3">IF(G41=0,"$0.00",IF($E$38=4,G41+D42,IF($E$38=3,G41+D42,IF($E$38=2,G41,G41-E42))))</f>
        <v>$0.00</v>
      </c>
      <c r="H42" s="689"/>
      <c r="J42" s="95">
        <v>1</v>
      </c>
      <c r="K42" s="96">
        <f t="shared" ref="K42:K53" si="4">N41*($L$36)/12</f>
        <v>0</v>
      </c>
      <c r="L42" s="96">
        <f t="shared" ref="L42:L53" si="5">IF(L38=4,"$0.00",+$N$39-K42)</f>
        <v>0</v>
      </c>
      <c r="M42" s="96">
        <f t="shared" ref="M42:M53" si="6">IF(L38=4,"$0.00",K42+L42)</f>
        <v>0</v>
      </c>
      <c r="N42" s="688">
        <f t="shared" ref="N42:N53" si="7">IF(L38=4,N41+K42,N41-L42)</f>
        <v>0</v>
      </c>
      <c r="O42" s="689"/>
      <c r="Q42" s="95">
        <v>1</v>
      </c>
      <c r="R42" s="101" t="str">
        <f t="shared" ref="R42:R53" si="8">IF(U41&gt;0,U41*($S$36)/12,"$0.00")</f>
        <v>$0.00</v>
      </c>
      <c r="S42" s="101" t="str">
        <f t="shared" ref="S42:S53" si="9">IF(U41&gt;0,IF($S$38=4,"$0.00",IF($S$38=3,"$0.00",IF($S$38=2,"$0.00",+$U$39-R42))),"$0.00")</f>
        <v>$0.00</v>
      </c>
      <c r="T42" s="101" t="str">
        <f t="shared" ref="T42:T53" si="10">IF(U41=0,"$0.00",IF($S$38=4,"$0.00",IF($S$38=3,"$0.00",IF($S$38=2,R42,R42+S42))))</f>
        <v>$0.00</v>
      </c>
      <c r="U42" s="688" t="str">
        <f t="shared" ref="U42:U53" si="11">IF(U41=0,"$0.00",IF($S$38=4,U41+R42,IF($S$38=3,U41+R42,IF($S$38=2,U41,U41-S42))))</f>
        <v>$0.00</v>
      </c>
      <c r="V42" s="689"/>
      <c r="X42" s="95">
        <v>1</v>
      </c>
      <c r="Y42" s="101" t="str">
        <f t="shared" ref="Y42:Y53" si="12">IF(AB41&gt;0,AB41*($Z$36)/12,"$0.00")</f>
        <v>$0.00</v>
      </c>
      <c r="Z42" s="101" t="str">
        <f t="shared" ref="Z42:Z53" si="13">IF(AB41&gt;0,IF($Z$38=4,"$0.00",IF($Z$38=3,"$0.00",IF($Z$38=2,"$0.00",+$AB$39-Y42))),"$0.00")</f>
        <v>$0.00</v>
      </c>
      <c r="AA42" s="101" t="str">
        <f t="shared" ref="AA42:AA53" si="14">IF(AB41=0,"$0.00",IF($Z$38=4,"$0.00",IF($Z$38=3,"$0.00",IF($Z$38=2,Y42,Y42+Z42))))</f>
        <v>$0.00</v>
      </c>
      <c r="AB42" s="688" t="str">
        <f t="shared" ref="AB42:AB53" si="15">IF(AB41=0,"$0.00",IF($Z$38=4,AB41+Y42,IF($Z$38=3,AB41+Y42,IF($Z$38=2,AB41,AB41-Z42))))</f>
        <v>$0.00</v>
      </c>
      <c r="AC42" s="689"/>
    </row>
    <row r="43" spans="1:29" x14ac:dyDescent="0.2">
      <c r="A43" s="397" t="s">
        <v>65</v>
      </c>
      <c r="B43" s="429">
        <v>5009</v>
      </c>
      <c r="C43" s="95">
        <v>2</v>
      </c>
      <c r="D43" s="101">
        <f t="shared" si="0"/>
        <v>0</v>
      </c>
      <c r="E43" s="101">
        <f t="shared" si="1"/>
        <v>0</v>
      </c>
      <c r="F43" s="101">
        <f t="shared" si="2"/>
        <v>0</v>
      </c>
      <c r="G43" s="688">
        <f t="shared" si="3"/>
        <v>0</v>
      </c>
      <c r="H43" s="689"/>
      <c r="J43" s="95">
        <v>2</v>
      </c>
      <c r="K43" s="96">
        <f t="shared" si="4"/>
        <v>0</v>
      </c>
      <c r="L43" s="96">
        <f t="shared" si="5"/>
        <v>0</v>
      </c>
      <c r="M43" s="96">
        <f t="shared" si="6"/>
        <v>0</v>
      </c>
      <c r="N43" s="688">
        <f t="shared" si="7"/>
        <v>0</v>
      </c>
      <c r="O43" s="689"/>
      <c r="Q43" s="95">
        <v>2</v>
      </c>
      <c r="R43" s="101">
        <f t="shared" si="8"/>
        <v>0</v>
      </c>
      <c r="S43" s="101">
        <f t="shared" si="9"/>
        <v>0</v>
      </c>
      <c r="T43" s="101">
        <f t="shared" si="10"/>
        <v>0</v>
      </c>
      <c r="U43" s="688">
        <f t="shared" si="11"/>
        <v>0</v>
      </c>
      <c r="V43" s="689"/>
      <c r="X43" s="95">
        <v>2</v>
      </c>
      <c r="Y43" s="101">
        <f t="shared" si="12"/>
        <v>0</v>
      </c>
      <c r="Z43" s="101">
        <f t="shared" si="13"/>
        <v>0</v>
      </c>
      <c r="AA43" s="101">
        <f t="shared" si="14"/>
        <v>0</v>
      </c>
      <c r="AB43" s="688">
        <f t="shared" si="15"/>
        <v>0</v>
      </c>
      <c r="AC43" s="689"/>
    </row>
    <row r="44" spans="1:29" x14ac:dyDescent="0.2">
      <c r="A44" s="397" t="s">
        <v>66</v>
      </c>
      <c r="B44" s="429">
        <v>9516</v>
      </c>
      <c r="C44" s="95">
        <v>3</v>
      </c>
      <c r="D44" s="101" t="str">
        <f t="shared" si="0"/>
        <v>$0.00</v>
      </c>
      <c r="E44" s="101" t="str">
        <f t="shared" si="1"/>
        <v>$0.00</v>
      </c>
      <c r="F44" s="101" t="str">
        <f t="shared" si="2"/>
        <v>$0.00</v>
      </c>
      <c r="G44" s="688" t="str">
        <f t="shared" si="3"/>
        <v>$0.00</v>
      </c>
      <c r="H44" s="689"/>
      <c r="J44" s="95">
        <v>3</v>
      </c>
      <c r="K44" s="96">
        <f t="shared" si="4"/>
        <v>0</v>
      </c>
      <c r="L44" s="96">
        <f t="shared" si="5"/>
        <v>0</v>
      </c>
      <c r="M44" s="96">
        <f t="shared" si="6"/>
        <v>0</v>
      </c>
      <c r="N44" s="688">
        <f t="shared" si="7"/>
        <v>0</v>
      </c>
      <c r="O44" s="689"/>
      <c r="Q44" s="95">
        <v>3</v>
      </c>
      <c r="R44" s="101" t="str">
        <f t="shared" si="8"/>
        <v>$0.00</v>
      </c>
      <c r="S44" s="101" t="str">
        <f t="shared" si="9"/>
        <v>$0.00</v>
      </c>
      <c r="T44" s="101" t="str">
        <f t="shared" si="10"/>
        <v>$0.00</v>
      </c>
      <c r="U44" s="688" t="str">
        <f t="shared" si="11"/>
        <v>$0.00</v>
      </c>
      <c r="V44" s="689"/>
      <c r="X44" s="95">
        <v>3</v>
      </c>
      <c r="Y44" s="101" t="str">
        <f t="shared" si="12"/>
        <v>$0.00</v>
      </c>
      <c r="Z44" s="101" t="str">
        <f t="shared" si="13"/>
        <v>$0.00</v>
      </c>
      <c r="AA44" s="101" t="str">
        <f t="shared" si="14"/>
        <v>$0.00</v>
      </c>
      <c r="AB44" s="688" t="str">
        <f t="shared" si="15"/>
        <v>$0.00</v>
      </c>
      <c r="AC44" s="689"/>
    </row>
    <row r="45" spans="1:29" x14ac:dyDescent="0.2">
      <c r="A45" s="397" t="s">
        <v>67</v>
      </c>
      <c r="B45" s="429">
        <v>48368</v>
      </c>
      <c r="C45" s="95">
        <v>4</v>
      </c>
      <c r="D45" s="101">
        <f t="shared" si="0"/>
        <v>0</v>
      </c>
      <c r="E45" s="101">
        <f t="shared" si="1"/>
        <v>0</v>
      </c>
      <c r="F45" s="101">
        <f t="shared" si="2"/>
        <v>0</v>
      </c>
      <c r="G45" s="688">
        <f t="shared" si="3"/>
        <v>0</v>
      </c>
      <c r="H45" s="689"/>
      <c r="J45" s="95">
        <v>4</v>
      </c>
      <c r="K45" s="96">
        <f t="shared" si="4"/>
        <v>0</v>
      </c>
      <c r="L45" s="96">
        <f t="shared" si="5"/>
        <v>0</v>
      </c>
      <c r="M45" s="96">
        <f t="shared" si="6"/>
        <v>0</v>
      </c>
      <c r="N45" s="688">
        <f t="shared" si="7"/>
        <v>0</v>
      </c>
      <c r="O45" s="689"/>
      <c r="Q45" s="95">
        <v>4</v>
      </c>
      <c r="R45" s="101">
        <f t="shared" si="8"/>
        <v>0</v>
      </c>
      <c r="S45" s="101">
        <f t="shared" si="9"/>
        <v>0</v>
      </c>
      <c r="T45" s="101">
        <f t="shared" si="10"/>
        <v>0</v>
      </c>
      <c r="U45" s="688">
        <f t="shared" si="11"/>
        <v>0</v>
      </c>
      <c r="V45" s="689"/>
      <c r="X45" s="95">
        <v>4</v>
      </c>
      <c r="Y45" s="101">
        <f t="shared" si="12"/>
        <v>0</v>
      </c>
      <c r="Z45" s="101">
        <f t="shared" si="13"/>
        <v>0</v>
      </c>
      <c r="AA45" s="101">
        <f t="shared" si="14"/>
        <v>0</v>
      </c>
      <c r="AB45" s="688">
        <f t="shared" si="15"/>
        <v>0</v>
      </c>
      <c r="AC45" s="689"/>
    </row>
    <row r="46" spans="1:29" x14ac:dyDescent="0.2">
      <c r="A46" s="397" t="s">
        <v>68</v>
      </c>
      <c r="B46" s="429">
        <v>10594</v>
      </c>
      <c r="C46" s="95">
        <v>5</v>
      </c>
      <c r="D46" s="101" t="str">
        <f t="shared" si="0"/>
        <v>$0.00</v>
      </c>
      <c r="E46" s="101" t="str">
        <f t="shared" si="1"/>
        <v>$0.00</v>
      </c>
      <c r="F46" s="101" t="str">
        <f t="shared" si="2"/>
        <v>$0.00</v>
      </c>
      <c r="G46" s="688" t="str">
        <f t="shared" si="3"/>
        <v>$0.00</v>
      </c>
      <c r="H46" s="689"/>
      <c r="J46" s="95">
        <v>5</v>
      </c>
      <c r="K46" s="96">
        <f t="shared" si="4"/>
        <v>0</v>
      </c>
      <c r="L46" s="96">
        <f t="shared" si="5"/>
        <v>0</v>
      </c>
      <c r="M46" s="96">
        <f t="shared" si="6"/>
        <v>0</v>
      </c>
      <c r="N46" s="688">
        <f t="shared" si="7"/>
        <v>0</v>
      </c>
      <c r="O46" s="689"/>
      <c r="Q46" s="95">
        <v>5</v>
      </c>
      <c r="R46" s="101" t="str">
        <f t="shared" si="8"/>
        <v>$0.00</v>
      </c>
      <c r="S46" s="101" t="str">
        <f t="shared" si="9"/>
        <v>$0.00</v>
      </c>
      <c r="T46" s="101" t="str">
        <f t="shared" si="10"/>
        <v>$0.00</v>
      </c>
      <c r="U46" s="688" t="str">
        <f t="shared" si="11"/>
        <v>$0.00</v>
      </c>
      <c r="V46" s="689"/>
      <c r="X46" s="95">
        <v>5</v>
      </c>
      <c r="Y46" s="101" t="str">
        <f t="shared" si="12"/>
        <v>$0.00</v>
      </c>
      <c r="Z46" s="101" t="str">
        <f t="shared" si="13"/>
        <v>$0.00</v>
      </c>
      <c r="AA46" s="101" t="str">
        <f t="shared" si="14"/>
        <v>$0.00</v>
      </c>
      <c r="AB46" s="688" t="str">
        <f t="shared" si="15"/>
        <v>$0.00</v>
      </c>
      <c r="AC46" s="689"/>
    </row>
    <row r="47" spans="1:29" x14ac:dyDescent="0.2">
      <c r="A47" s="397" t="s">
        <v>69</v>
      </c>
      <c r="B47" s="429">
        <v>7131</v>
      </c>
      <c r="C47" s="95">
        <v>6</v>
      </c>
      <c r="D47" s="101">
        <f t="shared" si="0"/>
        <v>0</v>
      </c>
      <c r="E47" s="101">
        <f t="shared" si="1"/>
        <v>0</v>
      </c>
      <c r="F47" s="101">
        <f t="shared" si="2"/>
        <v>0</v>
      </c>
      <c r="G47" s="688">
        <f t="shared" si="3"/>
        <v>0</v>
      </c>
      <c r="H47" s="689"/>
      <c r="J47" s="95">
        <v>6</v>
      </c>
      <c r="K47" s="96">
        <f t="shared" si="4"/>
        <v>0</v>
      </c>
      <c r="L47" s="96">
        <f t="shared" si="5"/>
        <v>0</v>
      </c>
      <c r="M47" s="96">
        <f t="shared" si="6"/>
        <v>0</v>
      </c>
      <c r="N47" s="688">
        <f t="shared" si="7"/>
        <v>0</v>
      </c>
      <c r="O47" s="689"/>
      <c r="Q47" s="95">
        <v>6</v>
      </c>
      <c r="R47" s="101">
        <f t="shared" si="8"/>
        <v>0</v>
      </c>
      <c r="S47" s="101">
        <f t="shared" si="9"/>
        <v>0</v>
      </c>
      <c r="T47" s="101">
        <f t="shared" si="10"/>
        <v>0</v>
      </c>
      <c r="U47" s="688">
        <f t="shared" si="11"/>
        <v>0</v>
      </c>
      <c r="V47" s="689"/>
      <c r="X47" s="95">
        <v>6</v>
      </c>
      <c r="Y47" s="101">
        <f t="shared" si="12"/>
        <v>0</v>
      </c>
      <c r="Z47" s="101">
        <f t="shared" si="13"/>
        <v>0</v>
      </c>
      <c r="AA47" s="101">
        <f t="shared" si="14"/>
        <v>0</v>
      </c>
      <c r="AB47" s="688">
        <f t="shared" si="15"/>
        <v>0</v>
      </c>
      <c r="AC47" s="689"/>
    </row>
    <row r="48" spans="1:29" x14ac:dyDescent="0.2">
      <c r="A48" s="397" t="s">
        <v>70</v>
      </c>
      <c r="B48" s="429">
        <v>12645</v>
      </c>
      <c r="C48" s="95">
        <v>7</v>
      </c>
      <c r="D48" s="101" t="str">
        <f t="shared" si="0"/>
        <v>$0.00</v>
      </c>
      <c r="E48" s="101" t="str">
        <f t="shared" si="1"/>
        <v>$0.00</v>
      </c>
      <c r="F48" s="101" t="str">
        <f t="shared" si="2"/>
        <v>$0.00</v>
      </c>
      <c r="G48" s="688" t="str">
        <f t="shared" si="3"/>
        <v>$0.00</v>
      </c>
      <c r="H48" s="689"/>
      <c r="J48" s="95">
        <v>7</v>
      </c>
      <c r="K48" s="96">
        <f t="shared" si="4"/>
        <v>0</v>
      </c>
      <c r="L48" s="96">
        <f t="shared" si="5"/>
        <v>0</v>
      </c>
      <c r="M48" s="96">
        <f t="shared" si="6"/>
        <v>0</v>
      </c>
      <c r="N48" s="688">
        <f t="shared" si="7"/>
        <v>0</v>
      </c>
      <c r="O48" s="689"/>
      <c r="Q48" s="95">
        <v>7</v>
      </c>
      <c r="R48" s="101" t="str">
        <f t="shared" si="8"/>
        <v>$0.00</v>
      </c>
      <c r="S48" s="101" t="str">
        <f t="shared" si="9"/>
        <v>$0.00</v>
      </c>
      <c r="T48" s="101" t="str">
        <f t="shared" si="10"/>
        <v>$0.00</v>
      </c>
      <c r="U48" s="688" t="str">
        <f t="shared" si="11"/>
        <v>$0.00</v>
      </c>
      <c r="V48" s="689"/>
      <c r="X48" s="95">
        <v>7</v>
      </c>
      <c r="Y48" s="101" t="str">
        <f t="shared" si="12"/>
        <v>$0.00</v>
      </c>
      <c r="Z48" s="101" t="str">
        <f t="shared" si="13"/>
        <v>$0.00</v>
      </c>
      <c r="AA48" s="101" t="str">
        <f t="shared" si="14"/>
        <v>$0.00</v>
      </c>
      <c r="AB48" s="688" t="str">
        <f t="shared" si="15"/>
        <v>$0.00</v>
      </c>
      <c r="AC48" s="689"/>
    </row>
    <row r="49" spans="1:29" x14ac:dyDescent="0.2">
      <c r="A49" s="397" t="s">
        <v>71</v>
      </c>
      <c r="B49" s="429">
        <v>11065</v>
      </c>
      <c r="C49" s="95">
        <v>8</v>
      </c>
      <c r="D49" s="101">
        <f t="shared" si="0"/>
        <v>0</v>
      </c>
      <c r="E49" s="101">
        <f t="shared" si="1"/>
        <v>0</v>
      </c>
      <c r="F49" s="101">
        <f t="shared" si="2"/>
        <v>0</v>
      </c>
      <c r="G49" s="688">
        <f t="shared" si="3"/>
        <v>0</v>
      </c>
      <c r="H49" s="689"/>
      <c r="J49" s="95">
        <v>8</v>
      </c>
      <c r="K49" s="96">
        <f t="shared" si="4"/>
        <v>0</v>
      </c>
      <c r="L49" s="96">
        <f t="shared" si="5"/>
        <v>0</v>
      </c>
      <c r="M49" s="96">
        <f t="shared" si="6"/>
        <v>0</v>
      </c>
      <c r="N49" s="688">
        <f t="shared" si="7"/>
        <v>0</v>
      </c>
      <c r="O49" s="689"/>
      <c r="Q49" s="95">
        <v>8</v>
      </c>
      <c r="R49" s="101">
        <f t="shared" si="8"/>
        <v>0</v>
      </c>
      <c r="S49" s="101">
        <f t="shared" si="9"/>
        <v>0</v>
      </c>
      <c r="T49" s="101">
        <f t="shared" si="10"/>
        <v>0</v>
      </c>
      <c r="U49" s="688">
        <f t="shared" si="11"/>
        <v>0</v>
      </c>
      <c r="V49" s="689"/>
      <c r="X49" s="95">
        <v>8</v>
      </c>
      <c r="Y49" s="101">
        <f t="shared" si="12"/>
        <v>0</v>
      </c>
      <c r="Z49" s="101">
        <f t="shared" si="13"/>
        <v>0</v>
      </c>
      <c r="AA49" s="101">
        <f t="shared" si="14"/>
        <v>0</v>
      </c>
      <c r="AB49" s="688">
        <f t="shared" si="15"/>
        <v>0</v>
      </c>
      <c r="AC49" s="689"/>
    </row>
    <row r="50" spans="1:29" x14ac:dyDescent="0.2">
      <c r="A50" s="397" t="s">
        <v>72</v>
      </c>
      <c r="B50" s="429">
        <v>1517</v>
      </c>
      <c r="C50" s="95">
        <v>9</v>
      </c>
      <c r="D50" s="101" t="str">
        <f t="shared" si="0"/>
        <v>$0.00</v>
      </c>
      <c r="E50" s="101" t="str">
        <f t="shared" si="1"/>
        <v>$0.00</v>
      </c>
      <c r="F50" s="101" t="str">
        <f t="shared" si="2"/>
        <v>$0.00</v>
      </c>
      <c r="G50" s="688" t="str">
        <f t="shared" si="3"/>
        <v>$0.00</v>
      </c>
      <c r="H50" s="689"/>
      <c r="J50" s="95">
        <v>9</v>
      </c>
      <c r="K50" s="96">
        <f t="shared" si="4"/>
        <v>0</v>
      </c>
      <c r="L50" s="96">
        <f t="shared" si="5"/>
        <v>0</v>
      </c>
      <c r="M50" s="96">
        <f t="shared" si="6"/>
        <v>0</v>
      </c>
      <c r="N50" s="688">
        <f t="shared" si="7"/>
        <v>0</v>
      </c>
      <c r="O50" s="689"/>
      <c r="Q50" s="95">
        <v>9</v>
      </c>
      <c r="R50" s="101" t="str">
        <f t="shared" si="8"/>
        <v>$0.00</v>
      </c>
      <c r="S50" s="101" t="str">
        <f t="shared" si="9"/>
        <v>$0.00</v>
      </c>
      <c r="T50" s="101" t="str">
        <f t="shared" si="10"/>
        <v>$0.00</v>
      </c>
      <c r="U50" s="688" t="str">
        <f t="shared" si="11"/>
        <v>$0.00</v>
      </c>
      <c r="V50" s="689"/>
      <c r="X50" s="95">
        <v>9</v>
      </c>
      <c r="Y50" s="101" t="str">
        <f t="shared" si="12"/>
        <v>$0.00</v>
      </c>
      <c r="Z50" s="101" t="str">
        <f t="shared" si="13"/>
        <v>$0.00</v>
      </c>
      <c r="AA50" s="101" t="str">
        <f t="shared" si="14"/>
        <v>$0.00</v>
      </c>
      <c r="AB50" s="688" t="str">
        <f t="shared" si="15"/>
        <v>$0.00</v>
      </c>
      <c r="AC50" s="689"/>
    </row>
    <row r="51" spans="1:29" x14ac:dyDescent="0.2">
      <c r="A51" s="397" t="s">
        <v>73</v>
      </c>
      <c r="B51" s="429">
        <v>2311</v>
      </c>
      <c r="C51" s="95">
        <v>10</v>
      </c>
      <c r="D51" s="101">
        <f t="shared" si="0"/>
        <v>0</v>
      </c>
      <c r="E51" s="101">
        <f t="shared" si="1"/>
        <v>0</v>
      </c>
      <c r="F51" s="101">
        <f t="shared" si="2"/>
        <v>0</v>
      </c>
      <c r="G51" s="688">
        <f t="shared" si="3"/>
        <v>0</v>
      </c>
      <c r="H51" s="689"/>
      <c r="J51" s="95">
        <v>10</v>
      </c>
      <c r="K51" s="96">
        <f t="shared" si="4"/>
        <v>0</v>
      </c>
      <c r="L51" s="96">
        <f t="shared" si="5"/>
        <v>0</v>
      </c>
      <c r="M51" s="96">
        <f t="shared" si="6"/>
        <v>0</v>
      </c>
      <c r="N51" s="688">
        <f t="shared" si="7"/>
        <v>0</v>
      </c>
      <c r="O51" s="689"/>
      <c r="Q51" s="95">
        <v>10</v>
      </c>
      <c r="R51" s="101">
        <f t="shared" si="8"/>
        <v>0</v>
      </c>
      <c r="S51" s="101">
        <f t="shared" si="9"/>
        <v>0</v>
      </c>
      <c r="T51" s="101">
        <f t="shared" si="10"/>
        <v>0</v>
      </c>
      <c r="U51" s="688">
        <f t="shared" si="11"/>
        <v>0</v>
      </c>
      <c r="V51" s="689"/>
      <c r="X51" s="95">
        <v>10</v>
      </c>
      <c r="Y51" s="101">
        <f t="shared" si="12"/>
        <v>0</v>
      </c>
      <c r="Z51" s="101">
        <f t="shared" si="13"/>
        <v>0</v>
      </c>
      <c r="AA51" s="101">
        <f t="shared" si="14"/>
        <v>0</v>
      </c>
      <c r="AB51" s="688">
        <f t="shared" si="15"/>
        <v>0</v>
      </c>
      <c r="AC51" s="689"/>
    </row>
    <row r="52" spans="1:29" x14ac:dyDescent="0.2">
      <c r="A52" s="397" t="s">
        <v>74</v>
      </c>
      <c r="B52" s="429">
        <v>1107314</v>
      </c>
      <c r="C52" s="95">
        <v>11</v>
      </c>
      <c r="D52" s="101" t="str">
        <f t="shared" si="0"/>
        <v>$0.00</v>
      </c>
      <c r="E52" s="101" t="str">
        <f t="shared" si="1"/>
        <v>$0.00</v>
      </c>
      <c r="F52" s="101" t="str">
        <f t="shared" si="2"/>
        <v>$0.00</v>
      </c>
      <c r="G52" s="688" t="str">
        <f t="shared" si="3"/>
        <v>$0.00</v>
      </c>
      <c r="H52" s="689"/>
      <c r="J52" s="95">
        <v>11</v>
      </c>
      <c r="K52" s="96">
        <f t="shared" si="4"/>
        <v>0</v>
      </c>
      <c r="L52" s="96">
        <f t="shared" si="5"/>
        <v>0</v>
      </c>
      <c r="M52" s="96">
        <f t="shared" si="6"/>
        <v>0</v>
      </c>
      <c r="N52" s="688">
        <f t="shared" si="7"/>
        <v>0</v>
      </c>
      <c r="O52" s="689"/>
      <c r="Q52" s="95">
        <v>11</v>
      </c>
      <c r="R52" s="101" t="str">
        <f t="shared" si="8"/>
        <v>$0.00</v>
      </c>
      <c r="S52" s="101" t="str">
        <f t="shared" si="9"/>
        <v>$0.00</v>
      </c>
      <c r="T52" s="101" t="str">
        <f t="shared" si="10"/>
        <v>$0.00</v>
      </c>
      <c r="U52" s="688" t="str">
        <f t="shared" si="11"/>
        <v>$0.00</v>
      </c>
      <c r="V52" s="689"/>
      <c r="X52" s="95">
        <v>11</v>
      </c>
      <c r="Y52" s="101" t="str">
        <f t="shared" si="12"/>
        <v>$0.00</v>
      </c>
      <c r="Z52" s="101" t="str">
        <f t="shared" si="13"/>
        <v>$0.00</v>
      </c>
      <c r="AA52" s="101" t="str">
        <f t="shared" si="14"/>
        <v>$0.00</v>
      </c>
      <c r="AB52" s="688" t="str">
        <f t="shared" si="15"/>
        <v>$0.00</v>
      </c>
      <c r="AC52" s="689"/>
    </row>
    <row r="53" spans="1:29" x14ac:dyDescent="0.2">
      <c r="A53" s="397" t="s">
        <v>75</v>
      </c>
      <c r="B53" s="429">
        <v>15772</v>
      </c>
      <c r="C53" s="95">
        <v>12</v>
      </c>
      <c r="D53" s="101">
        <f t="shared" si="0"/>
        <v>0</v>
      </c>
      <c r="E53" s="101">
        <f t="shared" si="1"/>
        <v>0</v>
      </c>
      <c r="F53" s="101">
        <f t="shared" si="2"/>
        <v>0</v>
      </c>
      <c r="G53" s="690">
        <f t="shared" si="3"/>
        <v>0</v>
      </c>
      <c r="H53" s="691"/>
      <c r="J53" s="95">
        <v>12</v>
      </c>
      <c r="K53" s="96">
        <f t="shared" si="4"/>
        <v>0</v>
      </c>
      <c r="L53" s="96">
        <f t="shared" si="5"/>
        <v>0</v>
      </c>
      <c r="M53" s="96">
        <f t="shared" si="6"/>
        <v>0</v>
      </c>
      <c r="N53" s="690">
        <f t="shared" si="7"/>
        <v>0</v>
      </c>
      <c r="O53" s="691"/>
      <c r="Q53" s="95">
        <v>12</v>
      </c>
      <c r="R53" s="101">
        <f t="shared" si="8"/>
        <v>0</v>
      </c>
      <c r="S53" s="101">
        <f t="shared" si="9"/>
        <v>0</v>
      </c>
      <c r="T53" s="101">
        <f t="shared" si="10"/>
        <v>0</v>
      </c>
      <c r="U53" s="690">
        <f t="shared" si="11"/>
        <v>0</v>
      </c>
      <c r="V53" s="691"/>
      <c r="X53" s="95">
        <v>12</v>
      </c>
      <c r="Y53" s="101">
        <f t="shared" si="12"/>
        <v>0</v>
      </c>
      <c r="Z53" s="101">
        <f t="shared" si="13"/>
        <v>0</v>
      </c>
      <c r="AA53" s="101">
        <f t="shared" si="14"/>
        <v>0</v>
      </c>
      <c r="AB53" s="690">
        <f t="shared" si="15"/>
        <v>0</v>
      </c>
      <c r="AC53" s="691"/>
    </row>
    <row r="54" spans="1:29" x14ac:dyDescent="0.2">
      <c r="A54" s="397" t="s">
        <v>76</v>
      </c>
      <c r="B54" s="429">
        <v>28778</v>
      </c>
      <c r="C54" s="97" t="s">
        <v>771</v>
      </c>
      <c r="D54" s="104">
        <f>SUM(D42:D53)</f>
        <v>0</v>
      </c>
      <c r="E54" s="104">
        <f>SUM(E42:E53)</f>
        <v>0</v>
      </c>
      <c r="F54" s="104">
        <f>SUM(F42:F53)</f>
        <v>0</v>
      </c>
      <c r="G54" s="692">
        <f>G53</f>
        <v>0</v>
      </c>
      <c r="H54" s="693"/>
      <c r="J54" s="97" t="s">
        <v>771</v>
      </c>
      <c r="K54" s="86">
        <f>SUM(K42:K53)</f>
        <v>0</v>
      </c>
      <c r="L54" s="86">
        <f>SUM(L42:L53)</f>
        <v>0</v>
      </c>
      <c r="M54" s="86">
        <f>SUM(M42:M53)</f>
        <v>0</v>
      </c>
      <c r="N54" s="692">
        <f>N53</f>
        <v>0</v>
      </c>
      <c r="O54" s="711"/>
      <c r="Q54" s="97" t="s">
        <v>771</v>
      </c>
      <c r="R54" s="104">
        <f>SUM(R42:R53)</f>
        <v>0</v>
      </c>
      <c r="S54" s="104">
        <f>SUM(S42:S53)</f>
        <v>0</v>
      </c>
      <c r="T54" s="104">
        <f>SUM(T42:T53)</f>
        <v>0</v>
      </c>
      <c r="U54" s="692">
        <f>U53</f>
        <v>0</v>
      </c>
      <c r="V54" s="693"/>
      <c r="X54" s="97" t="s">
        <v>771</v>
      </c>
      <c r="Y54" s="104">
        <f>SUM(Y42:Y53)</f>
        <v>0</v>
      </c>
      <c r="Z54" s="104">
        <f>SUM(Z42:Z53)</f>
        <v>0</v>
      </c>
      <c r="AA54" s="104">
        <f>SUM(AA42:AA53)</f>
        <v>0</v>
      </c>
      <c r="AB54" s="692">
        <f>AB53</f>
        <v>0</v>
      </c>
      <c r="AC54" s="693"/>
    </row>
    <row r="55" spans="1:29" x14ac:dyDescent="0.2">
      <c r="A55" s="397" t="s">
        <v>77</v>
      </c>
      <c r="B55" s="429">
        <v>20984</v>
      </c>
      <c r="C55" s="95">
        <v>13</v>
      </c>
      <c r="D55" s="101" t="str">
        <f t="shared" ref="D55:D66" si="16">IF(G54&gt;0,G54*($E$36)/12,"$0.00")</f>
        <v>$0.00</v>
      </c>
      <c r="E55" s="101" t="str">
        <f t="shared" ref="E55:E66" si="17">IF(G54&gt;0,IF($E$38=4,"$0.00",IF($E$38=3,"$0.00",IF($E$38=2,"$0.00",+$G$39-D55))),"$0.00")</f>
        <v>$0.00</v>
      </c>
      <c r="F55" s="101" t="str">
        <f t="shared" ref="F55:F66" si="18">IF(G54=0,"$0.00",IF($E$38=4,"$0.00",IF($E$38=3,"$0.00",IF($E$38=2,D55,D55+E55))))</f>
        <v>$0.00</v>
      </c>
      <c r="G55" s="688" t="str">
        <f t="shared" ref="G55:G66" si="19">IF(G54=0,"$0.00",IF($E$38=4,G54+D55,IF($E$38=3,G54+D55,IF($E$38=2,G54,G54-E55))))</f>
        <v>$0.00</v>
      </c>
      <c r="H55" s="689"/>
      <c r="J55" s="95">
        <v>13</v>
      </c>
      <c r="K55" s="96">
        <f t="shared" ref="K55:K66" si="20">N54*($L$36)/12</f>
        <v>0</v>
      </c>
      <c r="L55" s="96">
        <f t="shared" ref="L55:L66" si="21">IF(L51=4,"$0.00",+$N$39-K55)</f>
        <v>0</v>
      </c>
      <c r="M55" s="96">
        <f t="shared" ref="M55:M66" si="22">IF(L51=4,"$0.00",K55+L55)</f>
        <v>0</v>
      </c>
      <c r="N55" s="709">
        <f t="shared" ref="N55:N66" si="23">IF(L51=4,N54+K55,N54-L55)</f>
        <v>0</v>
      </c>
      <c r="O55" s="710"/>
      <c r="Q55" s="95">
        <v>13</v>
      </c>
      <c r="R55" s="101" t="str">
        <f t="shared" ref="R55:R66" si="24">IF(U54&gt;0,U54*($S$36)/12,"$0.00")</f>
        <v>$0.00</v>
      </c>
      <c r="S55" s="101" t="str">
        <f t="shared" ref="S55:S66" si="25">IF(U54&gt;0,IF($S$38=4,"$0.00",IF($S$38=3,"$0.00",IF($S$38=2,"$0.00",+$U$39-R55))),"$0.00")</f>
        <v>$0.00</v>
      </c>
      <c r="T55" s="101" t="str">
        <f t="shared" ref="T55:T66" si="26">IF(U54=0,"$0.00",IF($S$38=4,"$0.00",IF($S$38=3,"$0.00",IF($S$38=2,R55,R55+S55))))</f>
        <v>$0.00</v>
      </c>
      <c r="U55" s="688" t="str">
        <f t="shared" ref="U55:U66" si="27">IF(U54=0,"$0.00",IF($S$38=4,U54+R55,IF($S$38=3,U54+R55,IF($S$38=2,U54,U54-S55))))</f>
        <v>$0.00</v>
      </c>
      <c r="V55" s="689"/>
      <c r="X55" s="95">
        <v>13</v>
      </c>
      <c r="Y55" s="101" t="str">
        <f t="shared" ref="Y55:Y66" si="28">IF(AB54&gt;0,AB54*($Z$36)/12,"$0.00")</f>
        <v>$0.00</v>
      </c>
      <c r="Z55" s="101" t="str">
        <f t="shared" ref="Z55:Z66" si="29">IF(AB54&gt;0,IF($Z$38=4,"$0.00",IF($Z$38=3,"$0.00",IF($Z$38=2,"$0.00",+$AB$39-Y55))),"$0.00")</f>
        <v>$0.00</v>
      </c>
      <c r="AA55" s="101" t="str">
        <f t="shared" ref="AA55:AA66" si="30">IF(AB54=0,"$0.00",IF($Z$38=4,"$0.00",IF($Z$38=3,"$0.00",IF($Z$38=2,Y55,Y55+Z55))))</f>
        <v>$0.00</v>
      </c>
      <c r="AB55" s="688" t="str">
        <f t="shared" ref="AB55:AB66" si="31">IF(AB54=0,"$0.00",IF($Z$38=4,AB54+Y55,IF($Z$38=3,AB54+Y55,IF($Z$38=2,AB54,AB54-Z55))))</f>
        <v>$0.00</v>
      </c>
      <c r="AC55" s="689"/>
    </row>
    <row r="56" spans="1:29" x14ac:dyDescent="0.2">
      <c r="A56" s="397" t="s">
        <v>78</v>
      </c>
      <c r="B56" s="429">
        <v>39633</v>
      </c>
      <c r="C56" s="95">
        <v>14</v>
      </c>
      <c r="D56" s="101">
        <f t="shared" si="16"/>
        <v>0</v>
      </c>
      <c r="E56" s="101">
        <f t="shared" si="17"/>
        <v>0</v>
      </c>
      <c r="F56" s="101">
        <f t="shared" si="18"/>
        <v>0</v>
      </c>
      <c r="G56" s="688">
        <f t="shared" si="19"/>
        <v>0</v>
      </c>
      <c r="H56" s="689"/>
      <c r="J56" s="95">
        <v>14</v>
      </c>
      <c r="K56" s="96">
        <f t="shared" si="20"/>
        <v>0</v>
      </c>
      <c r="L56" s="96">
        <f t="shared" si="21"/>
        <v>0</v>
      </c>
      <c r="M56" s="96">
        <f t="shared" si="22"/>
        <v>0</v>
      </c>
      <c r="N56" s="688">
        <f t="shared" si="23"/>
        <v>0</v>
      </c>
      <c r="O56" s="689"/>
      <c r="Q56" s="95">
        <v>14</v>
      </c>
      <c r="R56" s="101">
        <f t="shared" si="24"/>
        <v>0</v>
      </c>
      <c r="S56" s="101">
        <f t="shared" si="25"/>
        <v>0</v>
      </c>
      <c r="T56" s="101">
        <f t="shared" si="26"/>
        <v>0</v>
      </c>
      <c r="U56" s="688">
        <f t="shared" si="27"/>
        <v>0</v>
      </c>
      <c r="V56" s="689"/>
      <c r="X56" s="95">
        <v>14</v>
      </c>
      <c r="Y56" s="101">
        <f t="shared" si="28"/>
        <v>0</v>
      </c>
      <c r="Z56" s="101">
        <f t="shared" si="29"/>
        <v>0</v>
      </c>
      <c r="AA56" s="101">
        <f t="shared" si="30"/>
        <v>0</v>
      </c>
      <c r="AB56" s="688">
        <f t="shared" si="31"/>
        <v>0</v>
      </c>
      <c r="AC56" s="689"/>
    </row>
    <row r="57" spans="1:29" x14ac:dyDescent="0.2">
      <c r="A57" s="397" t="s">
        <v>79</v>
      </c>
      <c r="B57" s="429">
        <v>62952</v>
      </c>
      <c r="C57" s="95">
        <v>15</v>
      </c>
      <c r="D57" s="101" t="str">
        <f t="shared" si="16"/>
        <v>$0.00</v>
      </c>
      <c r="E57" s="101" t="str">
        <f t="shared" si="17"/>
        <v>$0.00</v>
      </c>
      <c r="F57" s="101" t="str">
        <f t="shared" si="18"/>
        <v>$0.00</v>
      </c>
      <c r="G57" s="688" t="str">
        <f t="shared" si="19"/>
        <v>$0.00</v>
      </c>
      <c r="H57" s="689"/>
      <c r="J57" s="95">
        <v>15</v>
      </c>
      <c r="K57" s="96">
        <f t="shared" si="20"/>
        <v>0</v>
      </c>
      <c r="L57" s="96">
        <f t="shared" si="21"/>
        <v>0</v>
      </c>
      <c r="M57" s="96">
        <f t="shared" si="22"/>
        <v>0</v>
      </c>
      <c r="N57" s="688">
        <f t="shared" si="23"/>
        <v>0</v>
      </c>
      <c r="O57" s="689"/>
      <c r="Q57" s="95">
        <v>15</v>
      </c>
      <c r="R57" s="101" t="str">
        <f t="shared" si="24"/>
        <v>$0.00</v>
      </c>
      <c r="S57" s="101" t="str">
        <f t="shared" si="25"/>
        <v>$0.00</v>
      </c>
      <c r="T57" s="101" t="str">
        <f t="shared" si="26"/>
        <v>$0.00</v>
      </c>
      <c r="U57" s="688" t="str">
        <f t="shared" si="27"/>
        <v>$0.00</v>
      </c>
      <c r="V57" s="689"/>
      <c r="X57" s="95">
        <v>15</v>
      </c>
      <c r="Y57" s="101" t="str">
        <f t="shared" si="28"/>
        <v>$0.00</v>
      </c>
      <c r="Z57" s="101" t="str">
        <f t="shared" si="29"/>
        <v>$0.00</v>
      </c>
      <c r="AA57" s="101" t="str">
        <f t="shared" si="30"/>
        <v>$0.00</v>
      </c>
      <c r="AB57" s="688" t="str">
        <f t="shared" si="31"/>
        <v>$0.00</v>
      </c>
      <c r="AC57" s="689"/>
    </row>
    <row r="58" spans="1:29" x14ac:dyDescent="0.2">
      <c r="A58" s="397" t="s">
        <v>80</v>
      </c>
      <c r="B58" s="429">
        <v>37928</v>
      </c>
      <c r="C58" s="95">
        <v>16</v>
      </c>
      <c r="D58" s="101">
        <f t="shared" si="16"/>
        <v>0</v>
      </c>
      <c r="E58" s="101">
        <f t="shared" si="17"/>
        <v>0</v>
      </c>
      <c r="F58" s="101">
        <f t="shared" si="18"/>
        <v>0</v>
      </c>
      <c r="G58" s="688">
        <f t="shared" si="19"/>
        <v>0</v>
      </c>
      <c r="H58" s="689"/>
      <c r="J58" s="95">
        <v>16</v>
      </c>
      <c r="K58" s="96">
        <f t="shared" si="20"/>
        <v>0</v>
      </c>
      <c r="L58" s="96">
        <f t="shared" si="21"/>
        <v>0</v>
      </c>
      <c r="M58" s="96">
        <f t="shared" si="22"/>
        <v>0</v>
      </c>
      <c r="N58" s="688">
        <f t="shared" si="23"/>
        <v>0</v>
      </c>
      <c r="O58" s="689"/>
      <c r="Q58" s="95">
        <v>16</v>
      </c>
      <c r="R58" s="101">
        <f t="shared" si="24"/>
        <v>0</v>
      </c>
      <c r="S58" s="101">
        <f t="shared" si="25"/>
        <v>0</v>
      </c>
      <c r="T58" s="101">
        <f t="shared" si="26"/>
        <v>0</v>
      </c>
      <c r="U58" s="688">
        <f t="shared" si="27"/>
        <v>0</v>
      </c>
      <c r="V58" s="689"/>
      <c r="X58" s="95">
        <v>16</v>
      </c>
      <c r="Y58" s="101">
        <f t="shared" si="28"/>
        <v>0</v>
      </c>
      <c r="Z58" s="101">
        <f t="shared" si="29"/>
        <v>0</v>
      </c>
      <c r="AA58" s="101">
        <f t="shared" si="30"/>
        <v>0</v>
      </c>
      <c r="AB58" s="688">
        <f t="shared" si="31"/>
        <v>0</v>
      </c>
      <c r="AC58" s="689"/>
    </row>
    <row r="59" spans="1:29" x14ac:dyDescent="0.2">
      <c r="A59" s="398" t="s">
        <v>81</v>
      </c>
      <c r="B59" s="429">
        <v>575205</v>
      </c>
      <c r="C59" s="95">
        <v>17</v>
      </c>
      <c r="D59" s="101" t="str">
        <f t="shared" si="16"/>
        <v>$0.00</v>
      </c>
      <c r="E59" s="101" t="str">
        <f t="shared" si="17"/>
        <v>$0.00</v>
      </c>
      <c r="F59" s="101" t="str">
        <f t="shared" si="18"/>
        <v>$0.00</v>
      </c>
      <c r="G59" s="688" t="str">
        <f t="shared" si="19"/>
        <v>$0.00</v>
      </c>
      <c r="H59" s="689"/>
      <c r="J59" s="95">
        <v>17</v>
      </c>
      <c r="K59" s="96">
        <f t="shared" si="20"/>
        <v>0</v>
      </c>
      <c r="L59" s="96">
        <f t="shared" si="21"/>
        <v>0</v>
      </c>
      <c r="M59" s="96">
        <f t="shared" si="22"/>
        <v>0</v>
      </c>
      <c r="N59" s="688">
        <f t="shared" si="23"/>
        <v>0</v>
      </c>
      <c r="O59" s="689"/>
      <c r="Q59" s="95">
        <v>17</v>
      </c>
      <c r="R59" s="101" t="str">
        <f t="shared" si="24"/>
        <v>$0.00</v>
      </c>
      <c r="S59" s="101" t="str">
        <f t="shared" si="25"/>
        <v>$0.00</v>
      </c>
      <c r="T59" s="101" t="str">
        <f t="shared" si="26"/>
        <v>$0.00</v>
      </c>
      <c r="U59" s="688" t="str">
        <f t="shared" si="27"/>
        <v>$0.00</v>
      </c>
      <c r="V59" s="689"/>
      <c r="X59" s="95">
        <v>17</v>
      </c>
      <c r="Y59" s="101" t="str">
        <f t="shared" si="28"/>
        <v>$0.00</v>
      </c>
      <c r="Z59" s="101" t="str">
        <f t="shared" si="29"/>
        <v>$0.00</v>
      </c>
      <c r="AA59" s="101" t="str">
        <f t="shared" si="30"/>
        <v>$0.00</v>
      </c>
      <c r="AB59" s="688" t="str">
        <f t="shared" si="31"/>
        <v>$0.00</v>
      </c>
      <c r="AC59" s="689"/>
    </row>
    <row r="60" spans="1:29" x14ac:dyDescent="0.2">
      <c r="A60" s="398" t="s">
        <v>82</v>
      </c>
      <c r="B60" s="429">
        <v>29161</v>
      </c>
      <c r="C60" s="95">
        <v>18</v>
      </c>
      <c r="D60" s="101">
        <f t="shared" si="16"/>
        <v>0</v>
      </c>
      <c r="E60" s="101">
        <f t="shared" si="17"/>
        <v>0</v>
      </c>
      <c r="F60" s="101">
        <f t="shared" si="18"/>
        <v>0</v>
      </c>
      <c r="G60" s="688">
        <f t="shared" si="19"/>
        <v>0</v>
      </c>
      <c r="H60" s="689"/>
      <c r="J60" s="95">
        <v>18</v>
      </c>
      <c r="K60" s="96">
        <f t="shared" si="20"/>
        <v>0</v>
      </c>
      <c r="L60" s="96">
        <f t="shared" si="21"/>
        <v>0</v>
      </c>
      <c r="M60" s="96">
        <f t="shared" si="22"/>
        <v>0</v>
      </c>
      <c r="N60" s="688">
        <f t="shared" si="23"/>
        <v>0</v>
      </c>
      <c r="O60" s="689"/>
      <c r="Q60" s="95">
        <v>18</v>
      </c>
      <c r="R60" s="101">
        <f t="shared" si="24"/>
        <v>0</v>
      </c>
      <c r="S60" s="101">
        <f t="shared" si="25"/>
        <v>0</v>
      </c>
      <c r="T60" s="101">
        <f t="shared" si="26"/>
        <v>0</v>
      </c>
      <c r="U60" s="688">
        <f t="shared" si="27"/>
        <v>0</v>
      </c>
      <c r="V60" s="689"/>
      <c r="X60" s="95">
        <v>18</v>
      </c>
      <c r="Y60" s="101">
        <f t="shared" si="28"/>
        <v>0</v>
      </c>
      <c r="Z60" s="101">
        <f t="shared" si="29"/>
        <v>0</v>
      </c>
      <c r="AA60" s="101">
        <f t="shared" si="30"/>
        <v>0</v>
      </c>
      <c r="AB60" s="688">
        <f t="shared" si="31"/>
        <v>0</v>
      </c>
      <c r="AC60" s="689"/>
    </row>
    <row r="61" spans="1:29" x14ac:dyDescent="0.2">
      <c r="A61" s="398" t="s">
        <v>83</v>
      </c>
      <c r="B61" s="429">
        <v>155602</v>
      </c>
      <c r="C61" s="95">
        <v>19</v>
      </c>
      <c r="D61" s="101" t="str">
        <f t="shared" si="16"/>
        <v>$0.00</v>
      </c>
      <c r="E61" s="101" t="str">
        <f t="shared" si="17"/>
        <v>$0.00</v>
      </c>
      <c r="F61" s="101" t="str">
        <f t="shared" si="18"/>
        <v>$0.00</v>
      </c>
      <c r="G61" s="688" t="str">
        <f t="shared" si="19"/>
        <v>$0.00</v>
      </c>
      <c r="H61" s="689"/>
      <c r="J61" s="95">
        <v>19</v>
      </c>
      <c r="K61" s="96">
        <f t="shared" si="20"/>
        <v>0</v>
      </c>
      <c r="L61" s="96">
        <f t="shared" si="21"/>
        <v>0</v>
      </c>
      <c r="M61" s="96">
        <f t="shared" si="22"/>
        <v>0</v>
      </c>
      <c r="N61" s="688">
        <f t="shared" si="23"/>
        <v>0</v>
      </c>
      <c r="O61" s="689"/>
      <c r="Q61" s="95">
        <v>19</v>
      </c>
      <c r="R61" s="101" t="str">
        <f t="shared" si="24"/>
        <v>$0.00</v>
      </c>
      <c r="S61" s="101" t="str">
        <f t="shared" si="25"/>
        <v>$0.00</v>
      </c>
      <c r="T61" s="101" t="str">
        <f t="shared" si="26"/>
        <v>$0.00</v>
      </c>
      <c r="U61" s="688" t="str">
        <f t="shared" si="27"/>
        <v>$0.00</v>
      </c>
      <c r="V61" s="689"/>
      <c r="X61" s="95">
        <v>19</v>
      </c>
      <c r="Y61" s="101" t="str">
        <f t="shared" si="28"/>
        <v>$0.00</v>
      </c>
      <c r="Z61" s="101" t="str">
        <f t="shared" si="29"/>
        <v>$0.00</v>
      </c>
      <c r="AA61" s="101" t="str">
        <f t="shared" si="30"/>
        <v>$0.00</v>
      </c>
      <c r="AB61" s="688" t="str">
        <f t="shared" si="31"/>
        <v>$0.00</v>
      </c>
      <c r="AC61" s="689"/>
    </row>
    <row r="62" spans="1:29" x14ac:dyDescent="0.2">
      <c r="A62" s="398" t="s">
        <v>84</v>
      </c>
      <c r="B62" s="429">
        <v>2692</v>
      </c>
      <c r="C62" s="95">
        <v>20</v>
      </c>
      <c r="D62" s="101">
        <f t="shared" si="16"/>
        <v>0</v>
      </c>
      <c r="E62" s="101">
        <f t="shared" si="17"/>
        <v>0</v>
      </c>
      <c r="F62" s="101">
        <f t="shared" si="18"/>
        <v>0</v>
      </c>
      <c r="G62" s="688">
        <f t="shared" si="19"/>
        <v>0</v>
      </c>
      <c r="H62" s="689"/>
      <c r="J62" s="95">
        <v>20</v>
      </c>
      <c r="K62" s="96">
        <f t="shared" si="20"/>
        <v>0</v>
      </c>
      <c r="L62" s="96">
        <f t="shared" si="21"/>
        <v>0</v>
      </c>
      <c r="M62" s="96">
        <f t="shared" si="22"/>
        <v>0</v>
      </c>
      <c r="N62" s="688">
        <f t="shared" si="23"/>
        <v>0</v>
      </c>
      <c r="O62" s="689"/>
      <c r="Q62" s="95">
        <v>20</v>
      </c>
      <c r="R62" s="101">
        <f t="shared" si="24"/>
        <v>0</v>
      </c>
      <c r="S62" s="101">
        <f t="shared" si="25"/>
        <v>0</v>
      </c>
      <c r="T62" s="101">
        <f t="shared" si="26"/>
        <v>0</v>
      </c>
      <c r="U62" s="688">
        <f t="shared" si="27"/>
        <v>0</v>
      </c>
      <c r="V62" s="689"/>
      <c r="X62" s="95">
        <v>20</v>
      </c>
      <c r="Y62" s="101">
        <f t="shared" si="28"/>
        <v>0</v>
      </c>
      <c r="Z62" s="101">
        <f t="shared" si="29"/>
        <v>0</v>
      </c>
      <c r="AA62" s="101">
        <f t="shared" si="30"/>
        <v>0</v>
      </c>
      <c r="AB62" s="688">
        <f t="shared" si="31"/>
        <v>0</v>
      </c>
      <c r="AC62" s="689"/>
    </row>
    <row r="63" spans="1:29" x14ac:dyDescent="0.2">
      <c r="A63" s="399" t="s">
        <v>85</v>
      </c>
      <c r="B63" s="430">
        <v>243645</v>
      </c>
      <c r="C63" s="95">
        <v>21</v>
      </c>
      <c r="D63" s="101" t="str">
        <f t="shared" si="16"/>
        <v>$0.00</v>
      </c>
      <c r="E63" s="101" t="str">
        <f t="shared" si="17"/>
        <v>$0.00</v>
      </c>
      <c r="F63" s="101" t="str">
        <f t="shared" si="18"/>
        <v>$0.00</v>
      </c>
      <c r="G63" s="688" t="str">
        <f t="shared" si="19"/>
        <v>$0.00</v>
      </c>
      <c r="H63" s="689"/>
      <c r="J63" s="95">
        <v>21</v>
      </c>
      <c r="K63" s="96">
        <f t="shared" si="20"/>
        <v>0</v>
      </c>
      <c r="L63" s="96">
        <f t="shared" si="21"/>
        <v>0</v>
      </c>
      <c r="M63" s="96">
        <f t="shared" si="22"/>
        <v>0</v>
      </c>
      <c r="N63" s="688">
        <f t="shared" si="23"/>
        <v>0</v>
      </c>
      <c r="O63" s="689"/>
      <c r="Q63" s="95">
        <v>21</v>
      </c>
      <c r="R63" s="101" t="str">
        <f t="shared" si="24"/>
        <v>$0.00</v>
      </c>
      <c r="S63" s="101" t="str">
        <f t="shared" si="25"/>
        <v>$0.00</v>
      </c>
      <c r="T63" s="101" t="str">
        <f t="shared" si="26"/>
        <v>$0.00</v>
      </c>
      <c r="U63" s="688" t="str">
        <f t="shared" si="27"/>
        <v>$0.00</v>
      </c>
      <c r="V63" s="689"/>
      <c r="X63" s="95">
        <v>21</v>
      </c>
      <c r="Y63" s="101" t="str">
        <f t="shared" si="28"/>
        <v>$0.00</v>
      </c>
      <c r="Z63" s="101" t="str">
        <f t="shared" si="29"/>
        <v>$0.00</v>
      </c>
      <c r="AA63" s="101" t="str">
        <f t="shared" si="30"/>
        <v>$0.00</v>
      </c>
      <c r="AB63" s="688" t="str">
        <f t="shared" si="31"/>
        <v>$0.00</v>
      </c>
      <c r="AC63" s="689"/>
    </row>
    <row r="64" spans="1:29" x14ac:dyDescent="0.2">
      <c r="A64" s="21" t="s">
        <v>62</v>
      </c>
      <c r="B64" s="22">
        <v>42379</v>
      </c>
      <c r="C64" s="95">
        <v>22</v>
      </c>
      <c r="D64" s="101">
        <f t="shared" si="16"/>
        <v>0</v>
      </c>
      <c r="E64" s="101">
        <f t="shared" si="17"/>
        <v>0</v>
      </c>
      <c r="F64" s="101">
        <f t="shared" si="18"/>
        <v>0</v>
      </c>
      <c r="G64" s="688">
        <f t="shared" si="19"/>
        <v>0</v>
      </c>
      <c r="H64" s="689"/>
      <c r="J64" s="95">
        <v>22</v>
      </c>
      <c r="K64" s="96">
        <f t="shared" si="20"/>
        <v>0</v>
      </c>
      <c r="L64" s="96">
        <f t="shared" si="21"/>
        <v>0</v>
      </c>
      <c r="M64" s="96">
        <f t="shared" si="22"/>
        <v>0</v>
      </c>
      <c r="N64" s="688">
        <f t="shared" si="23"/>
        <v>0</v>
      </c>
      <c r="O64" s="689"/>
      <c r="Q64" s="95">
        <v>22</v>
      </c>
      <c r="R64" s="101">
        <f t="shared" si="24"/>
        <v>0</v>
      </c>
      <c r="S64" s="101">
        <f t="shared" si="25"/>
        <v>0</v>
      </c>
      <c r="T64" s="101">
        <f t="shared" si="26"/>
        <v>0</v>
      </c>
      <c r="U64" s="688">
        <f t="shared" si="27"/>
        <v>0</v>
      </c>
      <c r="V64" s="689"/>
      <c r="X64" s="95">
        <v>22</v>
      </c>
      <c r="Y64" s="101">
        <f t="shared" si="28"/>
        <v>0</v>
      </c>
      <c r="Z64" s="101">
        <f t="shared" si="29"/>
        <v>0</v>
      </c>
      <c r="AA64" s="101">
        <f t="shared" si="30"/>
        <v>0</v>
      </c>
      <c r="AB64" s="688">
        <f t="shared" si="31"/>
        <v>0</v>
      </c>
      <c r="AC64" s="689"/>
    </row>
    <row r="65" spans="1:29" x14ac:dyDescent="0.2">
      <c r="A65" s="1" t="s">
        <v>126</v>
      </c>
      <c r="C65" s="95">
        <v>23</v>
      </c>
      <c r="D65" s="101" t="str">
        <f t="shared" si="16"/>
        <v>$0.00</v>
      </c>
      <c r="E65" s="101" t="str">
        <f t="shared" si="17"/>
        <v>$0.00</v>
      </c>
      <c r="F65" s="101" t="str">
        <f t="shared" si="18"/>
        <v>$0.00</v>
      </c>
      <c r="G65" s="688" t="str">
        <f t="shared" si="19"/>
        <v>$0.00</v>
      </c>
      <c r="H65" s="689"/>
      <c r="J65" s="95">
        <v>23</v>
      </c>
      <c r="K65" s="96">
        <f t="shared" si="20"/>
        <v>0</v>
      </c>
      <c r="L65" s="96">
        <f t="shared" si="21"/>
        <v>0</v>
      </c>
      <c r="M65" s="96">
        <f t="shared" si="22"/>
        <v>0</v>
      </c>
      <c r="N65" s="688">
        <f t="shared" si="23"/>
        <v>0</v>
      </c>
      <c r="O65" s="689"/>
      <c r="Q65" s="95">
        <v>23</v>
      </c>
      <c r="R65" s="101" t="str">
        <f t="shared" si="24"/>
        <v>$0.00</v>
      </c>
      <c r="S65" s="101" t="str">
        <f t="shared" si="25"/>
        <v>$0.00</v>
      </c>
      <c r="T65" s="101" t="str">
        <f t="shared" si="26"/>
        <v>$0.00</v>
      </c>
      <c r="U65" s="688" t="str">
        <f t="shared" si="27"/>
        <v>$0.00</v>
      </c>
      <c r="V65" s="689"/>
      <c r="X65" s="95">
        <v>23</v>
      </c>
      <c r="Y65" s="101" t="str">
        <f t="shared" si="28"/>
        <v>$0.00</v>
      </c>
      <c r="Z65" s="101" t="str">
        <f t="shared" si="29"/>
        <v>$0.00</v>
      </c>
      <c r="AA65" s="101" t="str">
        <f t="shared" si="30"/>
        <v>$0.00</v>
      </c>
      <c r="AB65" s="688" t="str">
        <f t="shared" si="31"/>
        <v>$0.00</v>
      </c>
      <c r="AC65" s="689"/>
    </row>
    <row r="66" spans="1:29" x14ac:dyDescent="0.2">
      <c r="A66" s="1" t="s">
        <v>127</v>
      </c>
      <c r="B66" s="431">
        <f>SUM(B35:B63)</f>
        <v>2995919</v>
      </c>
      <c r="C66" s="95">
        <v>24</v>
      </c>
      <c r="D66" s="101">
        <f t="shared" si="16"/>
        <v>0</v>
      </c>
      <c r="E66" s="101">
        <f t="shared" si="17"/>
        <v>0</v>
      </c>
      <c r="F66" s="101">
        <f t="shared" si="18"/>
        <v>0</v>
      </c>
      <c r="G66" s="690">
        <f t="shared" si="19"/>
        <v>0</v>
      </c>
      <c r="H66" s="691"/>
      <c r="J66" s="95">
        <v>24</v>
      </c>
      <c r="K66" s="96">
        <f t="shared" si="20"/>
        <v>0</v>
      </c>
      <c r="L66" s="96">
        <f t="shared" si="21"/>
        <v>0</v>
      </c>
      <c r="M66" s="96">
        <f t="shared" si="22"/>
        <v>0</v>
      </c>
      <c r="N66" s="690">
        <f t="shared" si="23"/>
        <v>0</v>
      </c>
      <c r="O66" s="691"/>
      <c r="Q66" s="95">
        <v>24</v>
      </c>
      <c r="R66" s="101">
        <f t="shared" si="24"/>
        <v>0</v>
      </c>
      <c r="S66" s="101">
        <f t="shared" si="25"/>
        <v>0</v>
      </c>
      <c r="T66" s="101">
        <f t="shared" si="26"/>
        <v>0</v>
      </c>
      <c r="U66" s="690">
        <f t="shared" si="27"/>
        <v>0</v>
      </c>
      <c r="V66" s="691"/>
      <c r="X66" s="95">
        <v>24</v>
      </c>
      <c r="Y66" s="101">
        <f t="shared" si="28"/>
        <v>0</v>
      </c>
      <c r="Z66" s="101">
        <f t="shared" si="29"/>
        <v>0</v>
      </c>
      <c r="AA66" s="101">
        <f t="shared" si="30"/>
        <v>0</v>
      </c>
      <c r="AB66" s="690">
        <f t="shared" si="31"/>
        <v>0</v>
      </c>
      <c r="AC66" s="691"/>
    </row>
    <row r="67" spans="1:29" x14ac:dyDescent="0.2">
      <c r="C67" s="97" t="s">
        <v>772</v>
      </c>
      <c r="D67" s="104">
        <f>SUM(D55:D66)</f>
        <v>0</v>
      </c>
      <c r="E67" s="104">
        <f>SUM(E55:E66)</f>
        <v>0</v>
      </c>
      <c r="F67" s="104">
        <f>SUM(F55:F66)</f>
        <v>0</v>
      </c>
      <c r="G67" s="692">
        <f>G66</f>
        <v>0</v>
      </c>
      <c r="H67" s="693"/>
      <c r="J67" s="97" t="s">
        <v>772</v>
      </c>
      <c r="K67" s="86">
        <f>SUM(K55:K66)</f>
        <v>0</v>
      </c>
      <c r="L67" s="86">
        <f>SUM(L55:L66)</f>
        <v>0</v>
      </c>
      <c r="M67" s="86">
        <f>SUM(M55:M66)</f>
        <v>0</v>
      </c>
      <c r="N67" s="692">
        <f>N66</f>
        <v>0</v>
      </c>
      <c r="O67" s="711"/>
      <c r="Q67" s="97" t="s">
        <v>772</v>
      </c>
      <c r="R67" s="104">
        <f>SUM(R55:R66)</f>
        <v>0</v>
      </c>
      <c r="S67" s="104">
        <f>SUM(S55:S66)</f>
        <v>0</v>
      </c>
      <c r="T67" s="104">
        <f>SUM(T55:T66)</f>
        <v>0</v>
      </c>
      <c r="U67" s="692">
        <f>U66</f>
        <v>0</v>
      </c>
      <c r="V67" s="693"/>
      <c r="X67" s="97" t="s">
        <v>772</v>
      </c>
      <c r="Y67" s="104">
        <f>SUM(Y55:Y66)</f>
        <v>0</v>
      </c>
      <c r="Z67" s="104">
        <f>SUM(Z55:Z66)</f>
        <v>0</v>
      </c>
      <c r="AA67" s="104">
        <f>SUM(AA55:AA66)</f>
        <v>0</v>
      </c>
      <c r="AB67" s="692">
        <f>AB66</f>
        <v>0</v>
      </c>
      <c r="AC67" s="693"/>
    </row>
    <row r="68" spans="1:29" x14ac:dyDescent="0.2">
      <c r="B68" s="36" t="s">
        <v>48</v>
      </c>
      <c r="C68" s="95">
        <v>25</v>
      </c>
      <c r="D68" s="101" t="str">
        <f t="shared" ref="D68:D79" si="32">IF(G67&gt;0,G67*($E$36)/12,"$0.00")</f>
        <v>$0.00</v>
      </c>
      <c r="E68" s="101" t="str">
        <f t="shared" ref="E68:E79" si="33">IF(G67&gt;0,IF($E$38=4,"$0.00",IF($E$38=3,"$0.00",IF($E$38=2,"$0.00",+$G$39-D68))),"$0.00")</f>
        <v>$0.00</v>
      </c>
      <c r="F68" s="101" t="str">
        <f t="shared" ref="F68:F79" si="34">IF(G67=0,"$0.00",IF($E$38=4,"$0.00",IF($E$38=3,"$0.00",IF($E$38=2,D68,D68+E68))))</f>
        <v>$0.00</v>
      </c>
      <c r="G68" s="688" t="str">
        <f t="shared" ref="G68:G79" si="35">IF(G67=0,"$0.00",IF($E$38=4,G67+D68,IF($E$38=3,G67+D68,IF($E$38=2,G67,G67-E68))))</f>
        <v>$0.00</v>
      </c>
      <c r="H68" s="689"/>
      <c r="J68" s="95">
        <v>25</v>
      </c>
      <c r="K68" s="96">
        <f t="shared" ref="K68:K79" si="36">N67*($L$36)/12</f>
        <v>0</v>
      </c>
      <c r="L68" s="96">
        <f t="shared" ref="L68:L79" si="37">IF(L64=4,"$0.00",+$N$39-K68)</f>
        <v>0</v>
      </c>
      <c r="M68" s="96">
        <f t="shared" ref="M68:M79" si="38">IF(L64=4,"$0.00",K68+L68)</f>
        <v>0</v>
      </c>
      <c r="N68" s="709">
        <f t="shared" ref="N68:N79" si="39">IF(L64=4,N67+K68,N67-L68)</f>
        <v>0</v>
      </c>
      <c r="O68" s="710"/>
      <c r="Q68" s="95">
        <v>25</v>
      </c>
      <c r="R68" s="101" t="str">
        <f t="shared" ref="R68:R79" si="40">IF(U67&gt;0,U67*($S$36)/12,"$0.00")</f>
        <v>$0.00</v>
      </c>
      <c r="S68" s="101" t="str">
        <f t="shared" ref="S68:S79" si="41">IF(U67&gt;0,IF($S$38=4,"$0.00",IF($S$38=3,"$0.00",IF($S$38=2,"$0.00",+$U$39-R68))),"$0.00")</f>
        <v>$0.00</v>
      </c>
      <c r="T68" s="101" t="str">
        <f t="shared" ref="T68:T79" si="42">IF(U67=0,"$0.00",IF($S$38=4,"$0.00",IF($S$38=3,"$0.00",IF($S$38=2,R68,R68+S68))))</f>
        <v>$0.00</v>
      </c>
      <c r="U68" s="688" t="str">
        <f t="shared" ref="U68:U79" si="43">IF(U67=0,"$0.00",IF($S$38=4,U67+R68,IF($S$38=3,U67+R68,IF($S$38=2,U67,U67-S68))))</f>
        <v>$0.00</v>
      </c>
      <c r="V68" s="689"/>
      <c r="X68" s="95">
        <v>25</v>
      </c>
      <c r="Y68" s="101" t="str">
        <f t="shared" ref="Y68:Y79" si="44">IF(AB67&gt;0,AB67*($Z$36)/12,"$0.00")</f>
        <v>$0.00</v>
      </c>
      <c r="Z68" s="101" t="str">
        <f t="shared" ref="Z68:Z79" si="45">IF(AB67&gt;0,IF($Z$38=4,"$0.00",IF($Z$38=3,"$0.00",IF($Z$38=2,"$0.00",+$AB$39-Y68))),"$0.00")</f>
        <v>$0.00</v>
      </c>
      <c r="AA68" s="101" t="str">
        <f t="shared" ref="AA68:AA79" si="46">IF(AB67=0,"$0.00",IF($Z$38=4,"$0.00",IF($Z$38=3,"$0.00",IF($Z$38=2,Y68,Y68+Z68))))</f>
        <v>$0.00</v>
      </c>
      <c r="AB68" s="688" t="str">
        <f t="shared" ref="AB68:AB79" si="47">IF(AB67=0,"$0.00",IF($Z$38=4,AB67+Y68,IF($Z$38=3,AB67+Y68,IF($Z$38=2,AB67,AB67-Z68))))</f>
        <v>$0.00</v>
      </c>
      <c r="AC68" s="689"/>
    </row>
    <row r="69" spans="1:29" x14ac:dyDescent="0.2">
      <c r="B69" s="36" t="s">
        <v>1095</v>
      </c>
      <c r="C69" s="95">
        <v>26</v>
      </c>
      <c r="D69" s="101">
        <f t="shared" si="32"/>
        <v>0</v>
      </c>
      <c r="E69" s="101">
        <f t="shared" si="33"/>
        <v>0</v>
      </c>
      <c r="F69" s="101">
        <f t="shared" si="34"/>
        <v>0</v>
      </c>
      <c r="G69" s="688">
        <f t="shared" si="35"/>
        <v>0</v>
      </c>
      <c r="H69" s="689"/>
      <c r="J69" s="95">
        <v>26</v>
      </c>
      <c r="K69" s="96">
        <f t="shared" si="36"/>
        <v>0</v>
      </c>
      <c r="L69" s="96">
        <f t="shared" si="37"/>
        <v>0</v>
      </c>
      <c r="M69" s="96">
        <f t="shared" si="38"/>
        <v>0</v>
      </c>
      <c r="N69" s="688">
        <f t="shared" si="39"/>
        <v>0</v>
      </c>
      <c r="O69" s="689"/>
      <c r="Q69" s="95">
        <v>26</v>
      </c>
      <c r="R69" s="101">
        <f t="shared" si="40"/>
        <v>0</v>
      </c>
      <c r="S69" s="101">
        <f t="shared" si="41"/>
        <v>0</v>
      </c>
      <c r="T69" s="101">
        <f t="shared" si="42"/>
        <v>0</v>
      </c>
      <c r="U69" s="688">
        <f t="shared" si="43"/>
        <v>0</v>
      </c>
      <c r="V69" s="689"/>
      <c r="X69" s="95">
        <v>26</v>
      </c>
      <c r="Y69" s="101">
        <f t="shared" si="44"/>
        <v>0</v>
      </c>
      <c r="Z69" s="101">
        <f t="shared" si="45"/>
        <v>0</v>
      </c>
      <c r="AA69" s="101">
        <f t="shared" si="46"/>
        <v>0</v>
      </c>
      <c r="AB69" s="688">
        <f t="shared" si="47"/>
        <v>0</v>
      </c>
      <c r="AC69" s="689"/>
    </row>
    <row r="70" spans="1:29" x14ac:dyDescent="0.2">
      <c r="A70" s="3">
        <v>2016</v>
      </c>
      <c r="B70" s="36" t="s">
        <v>1096</v>
      </c>
      <c r="C70" s="95">
        <v>27</v>
      </c>
      <c r="D70" s="101" t="str">
        <f t="shared" si="32"/>
        <v>$0.00</v>
      </c>
      <c r="E70" s="101" t="str">
        <f t="shared" si="33"/>
        <v>$0.00</v>
      </c>
      <c r="F70" s="101" t="str">
        <f t="shared" si="34"/>
        <v>$0.00</v>
      </c>
      <c r="G70" s="688" t="str">
        <f t="shared" si="35"/>
        <v>$0.00</v>
      </c>
      <c r="H70" s="689"/>
      <c r="J70" s="95">
        <v>27</v>
      </c>
      <c r="K70" s="96">
        <f t="shared" si="36"/>
        <v>0</v>
      </c>
      <c r="L70" s="96">
        <f t="shared" si="37"/>
        <v>0</v>
      </c>
      <c r="M70" s="96">
        <f t="shared" si="38"/>
        <v>0</v>
      </c>
      <c r="N70" s="688">
        <f t="shared" si="39"/>
        <v>0</v>
      </c>
      <c r="O70" s="689"/>
      <c r="Q70" s="95">
        <v>27</v>
      </c>
      <c r="R70" s="101" t="str">
        <f t="shared" si="40"/>
        <v>$0.00</v>
      </c>
      <c r="S70" s="101" t="str">
        <f t="shared" si="41"/>
        <v>$0.00</v>
      </c>
      <c r="T70" s="101" t="str">
        <f t="shared" si="42"/>
        <v>$0.00</v>
      </c>
      <c r="U70" s="688" t="str">
        <f t="shared" si="43"/>
        <v>$0.00</v>
      </c>
      <c r="V70" s="689"/>
      <c r="X70" s="95">
        <v>27</v>
      </c>
      <c r="Y70" s="101" t="str">
        <f t="shared" si="44"/>
        <v>$0.00</v>
      </c>
      <c r="Z70" s="101" t="str">
        <f t="shared" si="45"/>
        <v>$0.00</v>
      </c>
      <c r="AA70" s="101" t="str">
        <f t="shared" si="46"/>
        <v>$0.00</v>
      </c>
      <c r="AB70" s="688" t="str">
        <f t="shared" si="47"/>
        <v>$0.00</v>
      </c>
      <c r="AC70" s="689"/>
    </row>
    <row r="71" spans="1:29" x14ac:dyDescent="0.2">
      <c r="A71" s="8" t="s">
        <v>55</v>
      </c>
      <c r="B71" s="408">
        <v>158500</v>
      </c>
      <c r="C71" s="95">
        <v>28</v>
      </c>
      <c r="D71" s="101">
        <f t="shared" si="32"/>
        <v>0</v>
      </c>
      <c r="E71" s="101">
        <f t="shared" si="33"/>
        <v>0</v>
      </c>
      <c r="F71" s="101">
        <f t="shared" si="34"/>
        <v>0</v>
      </c>
      <c r="G71" s="688">
        <f t="shared" si="35"/>
        <v>0</v>
      </c>
      <c r="H71" s="689"/>
      <c r="J71" s="95">
        <v>28</v>
      </c>
      <c r="K71" s="96">
        <f t="shared" si="36"/>
        <v>0</v>
      </c>
      <c r="L71" s="96">
        <f t="shared" si="37"/>
        <v>0</v>
      </c>
      <c r="M71" s="96">
        <f t="shared" si="38"/>
        <v>0</v>
      </c>
      <c r="N71" s="688">
        <f t="shared" si="39"/>
        <v>0</v>
      </c>
      <c r="O71" s="689"/>
      <c r="Q71" s="95">
        <v>28</v>
      </c>
      <c r="R71" s="101">
        <f t="shared" si="40"/>
        <v>0</v>
      </c>
      <c r="S71" s="101">
        <f t="shared" si="41"/>
        <v>0</v>
      </c>
      <c r="T71" s="101">
        <f t="shared" si="42"/>
        <v>0</v>
      </c>
      <c r="U71" s="688">
        <f t="shared" si="43"/>
        <v>0</v>
      </c>
      <c r="V71" s="689"/>
      <c r="X71" s="95">
        <v>28</v>
      </c>
      <c r="Y71" s="101">
        <f t="shared" si="44"/>
        <v>0</v>
      </c>
      <c r="Z71" s="101">
        <f t="shared" si="45"/>
        <v>0</v>
      </c>
      <c r="AA71" s="101">
        <f t="shared" si="46"/>
        <v>0</v>
      </c>
      <c r="AB71" s="688">
        <f t="shared" si="47"/>
        <v>0</v>
      </c>
      <c r="AC71" s="689"/>
    </row>
    <row r="72" spans="1:29" x14ac:dyDescent="0.2">
      <c r="A72" s="11" t="s">
        <v>56</v>
      </c>
      <c r="B72" s="409">
        <v>180000</v>
      </c>
      <c r="C72" s="95">
        <v>29</v>
      </c>
      <c r="D72" s="101" t="str">
        <f t="shared" si="32"/>
        <v>$0.00</v>
      </c>
      <c r="E72" s="101" t="str">
        <f t="shared" si="33"/>
        <v>$0.00</v>
      </c>
      <c r="F72" s="101" t="str">
        <f t="shared" si="34"/>
        <v>$0.00</v>
      </c>
      <c r="G72" s="688" t="str">
        <f t="shared" si="35"/>
        <v>$0.00</v>
      </c>
      <c r="H72" s="689"/>
      <c r="J72" s="95">
        <v>29</v>
      </c>
      <c r="K72" s="96">
        <f t="shared" si="36"/>
        <v>0</v>
      </c>
      <c r="L72" s="96">
        <f t="shared" si="37"/>
        <v>0</v>
      </c>
      <c r="M72" s="96">
        <f t="shared" si="38"/>
        <v>0</v>
      </c>
      <c r="N72" s="688">
        <f t="shared" si="39"/>
        <v>0</v>
      </c>
      <c r="O72" s="689"/>
      <c r="Q72" s="95">
        <v>29</v>
      </c>
      <c r="R72" s="101" t="str">
        <f t="shared" si="40"/>
        <v>$0.00</v>
      </c>
      <c r="S72" s="101" t="str">
        <f t="shared" si="41"/>
        <v>$0.00</v>
      </c>
      <c r="T72" s="101" t="str">
        <f t="shared" si="42"/>
        <v>$0.00</v>
      </c>
      <c r="U72" s="688" t="str">
        <f t="shared" si="43"/>
        <v>$0.00</v>
      </c>
      <c r="V72" s="689"/>
      <c r="X72" s="95">
        <v>29</v>
      </c>
      <c r="Y72" s="101" t="str">
        <f t="shared" si="44"/>
        <v>$0.00</v>
      </c>
      <c r="Z72" s="101" t="str">
        <f t="shared" si="45"/>
        <v>$0.00</v>
      </c>
      <c r="AA72" s="101" t="str">
        <f t="shared" si="46"/>
        <v>$0.00</v>
      </c>
      <c r="AB72" s="688" t="str">
        <f t="shared" si="47"/>
        <v>$0.00</v>
      </c>
      <c r="AC72" s="689"/>
    </row>
    <row r="73" spans="1:29" x14ac:dyDescent="0.2">
      <c r="A73" s="11" t="s">
        <v>57</v>
      </c>
      <c r="B73" s="409">
        <v>192642</v>
      </c>
      <c r="C73" s="95">
        <v>30</v>
      </c>
      <c r="D73" s="101">
        <f t="shared" si="32"/>
        <v>0</v>
      </c>
      <c r="E73" s="101">
        <f t="shared" si="33"/>
        <v>0</v>
      </c>
      <c r="F73" s="101">
        <f t="shared" si="34"/>
        <v>0</v>
      </c>
      <c r="G73" s="688">
        <f t="shared" si="35"/>
        <v>0</v>
      </c>
      <c r="H73" s="689"/>
      <c r="J73" s="95">
        <v>30</v>
      </c>
      <c r="K73" s="96">
        <f t="shared" si="36"/>
        <v>0</v>
      </c>
      <c r="L73" s="96">
        <f t="shared" si="37"/>
        <v>0</v>
      </c>
      <c r="M73" s="96">
        <f t="shared" si="38"/>
        <v>0</v>
      </c>
      <c r="N73" s="688">
        <f t="shared" si="39"/>
        <v>0</v>
      </c>
      <c r="O73" s="689"/>
      <c r="Q73" s="95">
        <v>30</v>
      </c>
      <c r="R73" s="101">
        <f t="shared" si="40"/>
        <v>0</v>
      </c>
      <c r="S73" s="101">
        <f t="shared" si="41"/>
        <v>0</v>
      </c>
      <c r="T73" s="101">
        <f t="shared" si="42"/>
        <v>0</v>
      </c>
      <c r="U73" s="688">
        <f t="shared" si="43"/>
        <v>0</v>
      </c>
      <c r="V73" s="689"/>
      <c r="X73" s="95">
        <v>30</v>
      </c>
      <c r="Y73" s="101">
        <f t="shared" si="44"/>
        <v>0</v>
      </c>
      <c r="Z73" s="101">
        <f t="shared" si="45"/>
        <v>0</v>
      </c>
      <c r="AA73" s="101">
        <f t="shared" si="46"/>
        <v>0</v>
      </c>
      <c r="AB73" s="688">
        <f t="shared" si="47"/>
        <v>0</v>
      </c>
      <c r="AC73" s="689"/>
    </row>
    <row r="74" spans="1:29" x14ac:dyDescent="0.2">
      <c r="A74" s="11" t="s">
        <v>58</v>
      </c>
      <c r="B74" s="409">
        <v>158500</v>
      </c>
      <c r="C74" s="95">
        <v>31</v>
      </c>
      <c r="D74" s="101" t="str">
        <f t="shared" si="32"/>
        <v>$0.00</v>
      </c>
      <c r="E74" s="101" t="str">
        <f t="shared" si="33"/>
        <v>$0.00</v>
      </c>
      <c r="F74" s="101" t="str">
        <f t="shared" si="34"/>
        <v>$0.00</v>
      </c>
      <c r="G74" s="688" t="str">
        <f t="shared" si="35"/>
        <v>$0.00</v>
      </c>
      <c r="H74" s="689"/>
      <c r="J74" s="95">
        <v>31</v>
      </c>
      <c r="K74" s="96">
        <f t="shared" si="36"/>
        <v>0</v>
      </c>
      <c r="L74" s="96">
        <f t="shared" si="37"/>
        <v>0</v>
      </c>
      <c r="M74" s="96">
        <f t="shared" si="38"/>
        <v>0</v>
      </c>
      <c r="N74" s="688">
        <f t="shared" si="39"/>
        <v>0</v>
      </c>
      <c r="O74" s="689"/>
      <c r="Q74" s="95">
        <v>31</v>
      </c>
      <c r="R74" s="101" t="str">
        <f t="shared" si="40"/>
        <v>$0.00</v>
      </c>
      <c r="S74" s="101" t="str">
        <f t="shared" si="41"/>
        <v>$0.00</v>
      </c>
      <c r="T74" s="101" t="str">
        <f t="shared" si="42"/>
        <v>$0.00</v>
      </c>
      <c r="U74" s="688" t="str">
        <f t="shared" si="43"/>
        <v>$0.00</v>
      </c>
      <c r="V74" s="689"/>
      <c r="X74" s="95">
        <v>31</v>
      </c>
      <c r="Y74" s="101" t="str">
        <f t="shared" si="44"/>
        <v>$0.00</v>
      </c>
      <c r="Z74" s="101" t="str">
        <f t="shared" si="45"/>
        <v>$0.00</v>
      </c>
      <c r="AA74" s="101" t="str">
        <f t="shared" si="46"/>
        <v>$0.00</v>
      </c>
      <c r="AB74" s="688" t="str">
        <f t="shared" si="47"/>
        <v>$0.00</v>
      </c>
      <c r="AC74" s="689"/>
    </row>
    <row r="75" spans="1:29" x14ac:dyDescent="0.2">
      <c r="A75" s="11" t="s">
        <v>59</v>
      </c>
      <c r="B75" s="409">
        <v>158500</v>
      </c>
      <c r="C75" s="95">
        <v>32</v>
      </c>
      <c r="D75" s="101">
        <f t="shared" si="32"/>
        <v>0</v>
      </c>
      <c r="E75" s="101">
        <f t="shared" si="33"/>
        <v>0</v>
      </c>
      <c r="F75" s="101">
        <f t="shared" si="34"/>
        <v>0</v>
      </c>
      <c r="G75" s="688">
        <f t="shared" si="35"/>
        <v>0</v>
      </c>
      <c r="H75" s="689"/>
      <c r="J75" s="95">
        <v>32</v>
      </c>
      <c r="K75" s="96">
        <f t="shared" si="36"/>
        <v>0</v>
      </c>
      <c r="L75" s="96">
        <f t="shared" si="37"/>
        <v>0</v>
      </c>
      <c r="M75" s="96">
        <f t="shared" si="38"/>
        <v>0</v>
      </c>
      <c r="N75" s="688">
        <f t="shared" si="39"/>
        <v>0</v>
      </c>
      <c r="O75" s="689"/>
      <c r="Q75" s="95">
        <v>32</v>
      </c>
      <c r="R75" s="101">
        <f t="shared" si="40"/>
        <v>0</v>
      </c>
      <c r="S75" s="101">
        <f t="shared" si="41"/>
        <v>0</v>
      </c>
      <c r="T75" s="101">
        <f t="shared" si="42"/>
        <v>0</v>
      </c>
      <c r="U75" s="688">
        <f t="shared" si="43"/>
        <v>0</v>
      </c>
      <c r="V75" s="689"/>
      <c r="X75" s="95">
        <v>32</v>
      </c>
      <c r="Y75" s="101">
        <f t="shared" si="44"/>
        <v>0</v>
      </c>
      <c r="Z75" s="101">
        <f t="shared" si="45"/>
        <v>0</v>
      </c>
      <c r="AA75" s="101">
        <f t="shared" si="46"/>
        <v>0</v>
      </c>
      <c r="AB75" s="688">
        <f t="shared" si="47"/>
        <v>0</v>
      </c>
      <c r="AC75" s="689"/>
    </row>
    <row r="76" spans="1:29" x14ac:dyDescent="0.2">
      <c r="A76" s="11" t="s">
        <v>61</v>
      </c>
      <c r="B76" s="409">
        <v>230417</v>
      </c>
      <c r="C76" s="95">
        <v>33</v>
      </c>
      <c r="D76" s="101" t="str">
        <f t="shared" si="32"/>
        <v>$0.00</v>
      </c>
      <c r="E76" s="101" t="str">
        <f t="shared" si="33"/>
        <v>$0.00</v>
      </c>
      <c r="F76" s="101" t="str">
        <f t="shared" si="34"/>
        <v>$0.00</v>
      </c>
      <c r="G76" s="688" t="str">
        <f t="shared" si="35"/>
        <v>$0.00</v>
      </c>
      <c r="H76" s="689"/>
      <c r="J76" s="95">
        <v>33</v>
      </c>
      <c r="K76" s="96">
        <f t="shared" si="36"/>
        <v>0</v>
      </c>
      <c r="L76" s="96">
        <f t="shared" si="37"/>
        <v>0</v>
      </c>
      <c r="M76" s="96">
        <f t="shared" si="38"/>
        <v>0</v>
      </c>
      <c r="N76" s="688">
        <f t="shared" si="39"/>
        <v>0</v>
      </c>
      <c r="O76" s="689"/>
      <c r="Q76" s="95">
        <v>33</v>
      </c>
      <c r="R76" s="101" t="str">
        <f t="shared" si="40"/>
        <v>$0.00</v>
      </c>
      <c r="S76" s="101" t="str">
        <f t="shared" si="41"/>
        <v>$0.00</v>
      </c>
      <c r="T76" s="101" t="str">
        <f t="shared" si="42"/>
        <v>$0.00</v>
      </c>
      <c r="U76" s="688" t="str">
        <f t="shared" si="43"/>
        <v>$0.00</v>
      </c>
      <c r="V76" s="689"/>
      <c r="X76" s="95">
        <v>33</v>
      </c>
      <c r="Y76" s="101" t="str">
        <f t="shared" si="44"/>
        <v>$0.00</v>
      </c>
      <c r="Z76" s="101" t="str">
        <f t="shared" si="45"/>
        <v>$0.00</v>
      </c>
      <c r="AA76" s="101" t="str">
        <f t="shared" si="46"/>
        <v>$0.00</v>
      </c>
      <c r="AB76" s="688" t="str">
        <f t="shared" si="47"/>
        <v>$0.00</v>
      </c>
      <c r="AC76" s="689"/>
    </row>
    <row r="77" spans="1:29" x14ac:dyDescent="0.2">
      <c r="A77" s="11" t="s">
        <v>63</v>
      </c>
      <c r="B77" s="409">
        <v>182000</v>
      </c>
      <c r="C77" s="95">
        <v>34</v>
      </c>
      <c r="D77" s="101">
        <f t="shared" si="32"/>
        <v>0</v>
      </c>
      <c r="E77" s="101">
        <f t="shared" si="33"/>
        <v>0</v>
      </c>
      <c r="F77" s="101">
        <f t="shared" si="34"/>
        <v>0</v>
      </c>
      <c r="G77" s="688">
        <f t="shared" si="35"/>
        <v>0</v>
      </c>
      <c r="H77" s="689"/>
      <c r="J77" s="95">
        <v>34</v>
      </c>
      <c r="K77" s="96">
        <f t="shared" si="36"/>
        <v>0</v>
      </c>
      <c r="L77" s="96">
        <f t="shared" si="37"/>
        <v>0</v>
      </c>
      <c r="M77" s="96">
        <f t="shared" si="38"/>
        <v>0</v>
      </c>
      <c r="N77" s="688">
        <f t="shared" si="39"/>
        <v>0</v>
      </c>
      <c r="O77" s="689"/>
      <c r="Q77" s="95">
        <v>34</v>
      </c>
      <c r="R77" s="101">
        <f t="shared" si="40"/>
        <v>0</v>
      </c>
      <c r="S77" s="101">
        <f t="shared" si="41"/>
        <v>0</v>
      </c>
      <c r="T77" s="101">
        <f t="shared" si="42"/>
        <v>0</v>
      </c>
      <c r="U77" s="688">
        <f t="shared" si="43"/>
        <v>0</v>
      </c>
      <c r="V77" s="689"/>
      <c r="X77" s="95">
        <v>34</v>
      </c>
      <c r="Y77" s="101">
        <f t="shared" si="44"/>
        <v>0</v>
      </c>
      <c r="Z77" s="101">
        <f t="shared" si="45"/>
        <v>0</v>
      </c>
      <c r="AA77" s="101">
        <f t="shared" si="46"/>
        <v>0</v>
      </c>
      <c r="AB77" s="688">
        <f t="shared" si="47"/>
        <v>0</v>
      </c>
      <c r="AC77" s="689"/>
    </row>
    <row r="78" spans="1:29" x14ac:dyDescent="0.2">
      <c r="A78" s="11" t="s">
        <v>64</v>
      </c>
      <c r="B78" s="409">
        <v>158500</v>
      </c>
      <c r="C78" s="95">
        <v>35</v>
      </c>
      <c r="D78" s="101" t="str">
        <f t="shared" si="32"/>
        <v>$0.00</v>
      </c>
      <c r="E78" s="101" t="str">
        <f t="shared" si="33"/>
        <v>$0.00</v>
      </c>
      <c r="F78" s="101" t="str">
        <f t="shared" si="34"/>
        <v>$0.00</v>
      </c>
      <c r="G78" s="688" t="str">
        <f t="shared" si="35"/>
        <v>$0.00</v>
      </c>
      <c r="H78" s="689"/>
      <c r="J78" s="95">
        <v>35</v>
      </c>
      <c r="K78" s="96">
        <f t="shared" si="36"/>
        <v>0</v>
      </c>
      <c r="L78" s="96">
        <f t="shared" si="37"/>
        <v>0</v>
      </c>
      <c r="M78" s="96">
        <f t="shared" si="38"/>
        <v>0</v>
      </c>
      <c r="N78" s="688">
        <f t="shared" si="39"/>
        <v>0</v>
      </c>
      <c r="O78" s="689"/>
      <c r="Q78" s="95">
        <v>35</v>
      </c>
      <c r="R78" s="101" t="str">
        <f t="shared" si="40"/>
        <v>$0.00</v>
      </c>
      <c r="S78" s="101" t="str">
        <f t="shared" si="41"/>
        <v>$0.00</v>
      </c>
      <c r="T78" s="101" t="str">
        <f t="shared" si="42"/>
        <v>$0.00</v>
      </c>
      <c r="U78" s="688" t="str">
        <f t="shared" si="43"/>
        <v>$0.00</v>
      </c>
      <c r="V78" s="689"/>
      <c r="X78" s="95">
        <v>35</v>
      </c>
      <c r="Y78" s="101" t="str">
        <f t="shared" si="44"/>
        <v>$0.00</v>
      </c>
      <c r="Z78" s="101" t="str">
        <f t="shared" si="45"/>
        <v>$0.00</v>
      </c>
      <c r="AA78" s="101" t="str">
        <f t="shared" si="46"/>
        <v>$0.00</v>
      </c>
      <c r="AB78" s="688" t="str">
        <f t="shared" si="47"/>
        <v>$0.00</v>
      </c>
      <c r="AC78" s="689"/>
    </row>
    <row r="79" spans="1:29" x14ac:dyDescent="0.2">
      <c r="A79" s="11" t="s">
        <v>65</v>
      </c>
      <c r="B79" s="409">
        <v>158500</v>
      </c>
      <c r="C79" s="95">
        <v>36</v>
      </c>
      <c r="D79" s="101">
        <f t="shared" si="32"/>
        <v>0</v>
      </c>
      <c r="E79" s="101">
        <f t="shared" si="33"/>
        <v>0</v>
      </c>
      <c r="F79" s="101">
        <f t="shared" si="34"/>
        <v>0</v>
      </c>
      <c r="G79" s="690">
        <f t="shared" si="35"/>
        <v>0</v>
      </c>
      <c r="H79" s="691"/>
      <c r="J79" s="95">
        <v>36</v>
      </c>
      <c r="K79" s="96">
        <f t="shared" si="36"/>
        <v>0</v>
      </c>
      <c r="L79" s="96">
        <f t="shared" si="37"/>
        <v>0</v>
      </c>
      <c r="M79" s="96">
        <f t="shared" si="38"/>
        <v>0</v>
      </c>
      <c r="N79" s="690">
        <f t="shared" si="39"/>
        <v>0</v>
      </c>
      <c r="O79" s="691"/>
      <c r="Q79" s="95">
        <v>36</v>
      </c>
      <c r="R79" s="101">
        <f t="shared" si="40"/>
        <v>0</v>
      </c>
      <c r="S79" s="101">
        <f t="shared" si="41"/>
        <v>0</v>
      </c>
      <c r="T79" s="101">
        <f t="shared" si="42"/>
        <v>0</v>
      </c>
      <c r="U79" s="690">
        <f t="shared" si="43"/>
        <v>0</v>
      </c>
      <c r="V79" s="691"/>
      <c r="X79" s="95">
        <v>36</v>
      </c>
      <c r="Y79" s="101">
        <f t="shared" si="44"/>
        <v>0</v>
      </c>
      <c r="Z79" s="101">
        <f t="shared" si="45"/>
        <v>0</v>
      </c>
      <c r="AA79" s="101">
        <f t="shared" si="46"/>
        <v>0</v>
      </c>
      <c r="AB79" s="690">
        <f t="shared" si="47"/>
        <v>0</v>
      </c>
      <c r="AC79" s="691"/>
    </row>
    <row r="80" spans="1:29" x14ac:dyDescent="0.2">
      <c r="A80" s="11" t="s">
        <v>66</v>
      </c>
      <c r="B80" s="409">
        <v>250000</v>
      </c>
      <c r="C80" s="97" t="s">
        <v>773</v>
      </c>
      <c r="D80" s="104">
        <f>SUM(D68:D79)</f>
        <v>0</v>
      </c>
      <c r="E80" s="104">
        <f>SUM(E68:E79)</f>
        <v>0</v>
      </c>
      <c r="F80" s="104">
        <f>SUM(F68:F79)</f>
        <v>0</v>
      </c>
      <c r="G80" s="692">
        <f>G79</f>
        <v>0</v>
      </c>
      <c r="H80" s="693"/>
      <c r="J80" s="97" t="s">
        <v>773</v>
      </c>
      <c r="K80" s="86">
        <f>SUM(K68:K79)</f>
        <v>0</v>
      </c>
      <c r="L80" s="86">
        <f>SUM(L68:L79)</f>
        <v>0</v>
      </c>
      <c r="M80" s="86">
        <f>SUM(M68:M79)</f>
        <v>0</v>
      </c>
      <c r="N80" s="692">
        <f>N79</f>
        <v>0</v>
      </c>
      <c r="O80" s="711"/>
      <c r="Q80" s="97" t="s">
        <v>773</v>
      </c>
      <c r="R80" s="104">
        <f>SUM(R68:R79)</f>
        <v>0</v>
      </c>
      <c r="S80" s="104">
        <f>SUM(S68:S79)</f>
        <v>0</v>
      </c>
      <c r="T80" s="104">
        <f>SUM(T68:T79)</f>
        <v>0</v>
      </c>
      <c r="U80" s="692">
        <f>U79</f>
        <v>0</v>
      </c>
      <c r="V80" s="693"/>
      <c r="X80" s="97" t="s">
        <v>773</v>
      </c>
      <c r="Y80" s="104">
        <f>SUM(Y68:Y79)</f>
        <v>0</v>
      </c>
      <c r="Z80" s="104">
        <f>SUM(Z68:Z79)</f>
        <v>0</v>
      </c>
      <c r="AA80" s="104">
        <f>SUM(AA68:AA79)</f>
        <v>0</v>
      </c>
      <c r="AB80" s="692">
        <f>AB79</f>
        <v>0</v>
      </c>
      <c r="AC80" s="693"/>
    </row>
    <row r="81" spans="1:29" x14ac:dyDescent="0.2">
      <c r="A81" s="11" t="s">
        <v>67</v>
      </c>
      <c r="B81" s="409">
        <v>177500</v>
      </c>
      <c r="C81" s="95">
        <v>37</v>
      </c>
      <c r="D81" s="101" t="str">
        <f t="shared" ref="D81:D92" si="48">IF(G80&gt;0,G80*($E$36)/12,"$0.00")</f>
        <v>$0.00</v>
      </c>
      <c r="E81" s="101" t="str">
        <f t="shared" ref="E81:E92" si="49">IF(G80&gt;0,IF($E$38=4,"$0.00",IF($E$38=3,"$0.00",IF($E$38=2,"$0.00",+$G$39-D81))),"$0.00")</f>
        <v>$0.00</v>
      </c>
      <c r="F81" s="101" t="str">
        <f t="shared" ref="F81:F92" si="50">IF(G80=0,"$0.00",IF($E$38=4,"$0.00",IF($E$38=3,"$0.00",IF($E$38=2,D81,D81+E81))))</f>
        <v>$0.00</v>
      </c>
      <c r="G81" s="688" t="str">
        <f t="shared" ref="G81:G92" si="51">IF(G80=0,"$0.00",IF($E$38=4,G80+D81,IF($E$38=3,G80+D81,IF($E$38=2,G80,G80-E81))))</f>
        <v>$0.00</v>
      </c>
      <c r="H81" s="689"/>
      <c r="J81" s="95">
        <v>37</v>
      </c>
      <c r="K81" s="96">
        <f t="shared" ref="K81:K92" si="52">N80*($L$36)/12</f>
        <v>0</v>
      </c>
      <c r="L81" s="96">
        <f t="shared" ref="L81:L92" si="53">IF(L77=4,"$0.00",+$N$39-K81)</f>
        <v>0</v>
      </c>
      <c r="M81" s="96">
        <f t="shared" ref="M81:M92" si="54">IF(L77=4,"$0.00",K81+L81)</f>
        <v>0</v>
      </c>
      <c r="N81" s="709">
        <f t="shared" ref="N81:N92" si="55">IF(L77=4,N80+K81,N80-L81)</f>
        <v>0</v>
      </c>
      <c r="O81" s="710"/>
      <c r="Q81" s="95">
        <v>37</v>
      </c>
      <c r="R81" s="101" t="str">
        <f t="shared" ref="R81:R92" si="56">IF(U80&gt;0,U80*($S$36)/12,"$0.00")</f>
        <v>$0.00</v>
      </c>
      <c r="S81" s="101" t="str">
        <f t="shared" ref="S81:S92" si="57">IF(U80&gt;0,IF($S$38=4,"$0.00",IF($S$38=3,"$0.00",IF($S$38=2,"$0.00",+$U$39-R81))),"$0.00")</f>
        <v>$0.00</v>
      </c>
      <c r="T81" s="101" t="str">
        <f t="shared" ref="T81:T92" si="58">IF(U80=0,"$0.00",IF($S$38=4,"$0.00",IF($S$38=3,"$0.00",IF($S$38=2,R81,R81+S81))))</f>
        <v>$0.00</v>
      </c>
      <c r="U81" s="688" t="str">
        <f t="shared" ref="U81:U92" si="59">IF(U80=0,"$0.00",IF($S$38=4,U80+R81,IF($S$38=3,U80+R81,IF($S$38=2,U80,U80-S81))))</f>
        <v>$0.00</v>
      </c>
      <c r="V81" s="689"/>
      <c r="X81" s="95">
        <v>37</v>
      </c>
      <c r="Y81" s="101" t="str">
        <f t="shared" ref="Y81:Y92" si="60">IF(AB80&gt;0,AB80*($Z$36)/12,"$0.00")</f>
        <v>$0.00</v>
      </c>
      <c r="Z81" s="101" t="str">
        <f t="shared" ref="Z81:Z92" si="61">IF(AB80&gt;0,IF($Z$38=4,"$0.00",IF($Z$38=3,"$0.00",IF($Z$38=2,"$0.00",+$AB$39-Y81))),"$0.00")</f>
        <v>$0.00</v>
      </c>
      <c r="AA81" s="101" t="str">
        <f t="shared" ref="AA81:AA92" si="62">IF(AB80=0,"$0.00",IF($Z$38=4,"$0.00",IF($Z$38=3,"$0.00",IF($Z$38=2,Y81,Y81+Z81))))</f>
        <v>$0.00</v>
      </c>
      <c r="AB81" s="688" t="str">
        <f t="shared" ref="AB81:AB92" si="63">IF(AB80=0,"$0.00",IF($Z$38=4,AB80+Y81,IF($Z$38=3,AB80+Y81,IF($Z$38=2,AB80,AB80-Z81))))</f>
        <v>$0.00</v>
      </c>
      <c r="AC81" s="689"/>
    </row>
    <row r="82" spans="1:29" x14ac:dyDescent="0.2">
      <c r="A82" s="11" t="s">
        <v>68</v>
      </c>
      <c r="B82" s="409">
        <v>245000</v>
      </c>
      <c r="C82" s="95">
        <v>38</v>
      </c>
      <c r="D82" s="101">
        <f t="shared" si="48"/>
        <v>0</v>
      </c>
      <c r="E82" s="101">
        <f t="shared" si="49"/>
        <v>0</v>
      </c>
      <c r="F82" s="101">
        <f t="shared" si="50"/>
        <v>0</v>
      </c>
      <c r="G82" s="688">
        <f t="shared" si="51"/>
        <v>0</v>
      </c>
      <c r="H82" s="689"/>
      <c r="J82" s="95">
        <v>38</v>
      </c>
      <c r="K82" s="96">
        <f t="shared" si="52"/>
        <v>0</v>
      </c>
      <c r="L82" s="96">
        <f t="shared" si="53"/>
        <v>0</v>
      </c>
      <c r="M82" s="96">
        <f t="shared" si="54"/>
        <v>0</v>
      </c>
      <c r="N82" s="688">
        <f t="shared" si="55"/>
        <v>0</v>
      </c>
      <c r="O82" s="689"/>
      <c r="Q82" s="95">
        <v>38</v>
      </c>
      <c r="R82" s="101">
        <f t="shared" si="56"/>
        <v>0</v>
      </c>
      <c r="S82" s="101">
        <f t="shared" si="57"/>
        <v>0</v>
      </c>
      <c r="T82" s="101">
        <f t="shared" si="58"/>
        <v>0</v>
      </c>
      <c r="U82" s="688">
        <f t="shared" si="59"/>
        <v>0</v>
      </c>
      <c r="V82" s="689"/>
      <c r="X82" s="95">
        <v>38</v>
      </c>
      <c r="Y82" s="101">
        <f t="shared" si="60"/>
        <v>0</v>
      </c>
      <c r="Z82" s="101">
        <f t="shared" si="61"/>
        <v>0</v>
      </c>
      <c r="AA82" s="101">
        <f t="shared" si="62"/>
        <v>0</v>
      </c>
      <c r="AB82" s="688">
        <f t="shared" si="63"/>
        <v>0</v>
      </c>
      <c r="AC82" s="689"/>
    </row>
    <row r="83" spans="1:29" x14ac:dyDescent="0.2">
      <c r="A83" s="11" t="s">
        <v>69</v>
      </c>
      <c r="B83" s="409">
        <v>190000</v>
      </c>
      <c r="C83" s="95">
        <v>39</v>
      </c>
      <c r="D83" s="101" t="str">
        <f t="shared" si="48"/>
        <v>$0.00</v>
      </c>
      <c r="E83" s="101" t="str">
        <f t="shared" si="49"/>
        <v>$0.00</v>
      </c>
      <c r="F83" s="101" t="str">
        <f t="shared" si="50"/>
        <v>$0.00</v>
      </c>
      <c r="G83" s="688" t="str">
        <f t="shared" si="51"/>
        <v>$0.00</v>
      </c>
      <c r="H83" s="689"/>
      <c r="J83" s="95">
        <v>39</v>
      </c>
      <c r="K83" s="96">
        <f t="shared" si="52"/>
        <v>0</v>
      </c>
      <c r="L83" s="96">
        <f t="shared" si="53"/>
        <v>0</v>
      </c>
      <c r="M83" s="96">
        <f t="shared" si="54"/>
        <v>0</v>
      </c>
      <c r="N83" s="688">
        <f t="shared" si="55"/>
        <v>0</v>
      </c>
      <c r="O83" s="689"/>
      <c r="Q83" s="95">
        <v>39</v>
      </c>
      <c r="R83" s="101" t="str">
        <f t="shared" si="56"/>
        <v>$0.00</v>
      </c>
      <c r="S83" s="101" t="str">
        <f t="shared" si="57"/>
        <v>$0.00</v>
      </c>
      <c r="T83" s="101" t="str">
        <f t="shared" si="58"/>
        <v>$0.00</v>
      </c>
      <c r="U83" s="688" t="str">
        <f t="shared" si="59"/>
        <v>$0.00</v>
      </c>
      <c r="V83" s="689"/>
      <c r="X83" s="95">
        <v>39</v>
      </c>
      <c r="Y83" s="101" t="str">
        <f t="shared" si="60"/>
        <v>$0.00</v>
      </c>
      <c r="Z83" s="101" t="str">
        <f t="shared" si="61"/>
        <v>$0.00</v>
      </c>
      <c r="AA83" s="101" t="str">
        <f t="shared" si="62"/>
        <v>$0.00</v>
      </c>
      <c r="AB83" s="688" t="str">
        <f t="shared" si="63"/>
        <v>$0.00</v>
      </c>
      <c r="AC83" s="689"/>
    </row>
    <row r="84" spans="1:29" x14ac:dyDescent="0.2">
      <c r="A84" s="11" t="s">
        <v>70</v>
      </c>
      <c r="B84" s="409">
        <v>158500</v>
      </c>
      <c r="C84" s="95">
        <v>40</v>
      </c>
      <c r="D84" s="101">
        <f t="shared" si="48"/>
        <v>0</v>
      </c>
      <c r="E84" s="101">
        <f t="shared" si="49"/>
        <v>0</v>
      </c>
      <c r="F84" s="101">
        <f t="shared" si="50"/>
        <v>0</v>
      </c>
      <c r="G84" s="688">
        <f t="shared" si="51"/>
        <v>0</v>
      </c>
      <c r="H84" s="689"/>
      <c r="J84" s="95">
        <v>40</v>
      </c>
      <c r="K84" s="96">
        <f t="shared" si="52"/>
        <v>0</v>
      </c>
      <c r="L84" s="96">
        <f t="shared" si="53"/>
        <v>0</v>
      </c>
      <c r="M84" s="96">
        <f t="shared" si="54"/>
        <v>0</v>
      </c>
      <c r="N84" s="688">
        <f t="shared" si="55"/>
        <v>0</v>
      </c>
      <c r="O84" s="689"/>
      <c r="Q84" s="95">
        <v>40</v>
      </c>
      <c r="R84" s="101">
        <f t="shared" si="56"/>
        <v>0</v>
      </c>
      <c r="S84" s="101">
        <f t="shared" si="57"/>
        <v>0</v>
      </c>
      <c r="T84" s="101">
        <f t="shared" si="58"/>
        <v>0</v>
      </c>
      <c r="U84" s="688">
        <f t="shared" si="59"/>
        <v>0</v>
      </c>
      <c r="V84" s="689"/>
      <c r="X84" s="95">
        <v>40</v>
      </c>
      <c r="Y84" s="101">
        <f t="shared" si="60"/>
        <v>0</v>
      </c>
      <c r="Z84" s="101">
        <f t="shared" si="61"/>
        <v>0</v>
      </c>
      <c r="AA84" s="101">
        <f t="shared" si="62"/>
        <v>0</v>
      </c>
      <c r="AB84" s="688">
        <f t="shared" si="63"/>
        <v>0</v>
      </c>
      <c r="AC84" s="689"/>
    </row>
    <row r="85" spans="1:29" x14ac:dyDescent="0.2">
      <c r="A85" s="11" t="s">
        <v>71</v>
      </c>
      <c r="B85" s="409">
        <v>258000</v>
      </c>
      <c r="C85" s="95">
        <v>41</v>
      </c>
      <c r="D85" s="101" t="str">
        <f t="shared" si="48"/>
        <v>$0.00</v>
      </c>
      <c r="E85" s="101" t="str">
        <f t="shared" si="49"/>
        <v>$0.00</v>
      </c>
      <c r="F85" s="101" t="str">
        <f t="shared" si="50"/>
        <v>$0.00</v>
      </c>
      <c r="G85" s="688" t="str">
        <f t="shared" si="51"/>
        <v>$0.00</v>
      </c>
      <c r="H85" s="689"/>
      <c r="J85" s="95">
        <v>41</v>
      </c>
      <c r="K85" s="96">
        <f t="shared" si="52"/>
        <v>0</v>
      </c>
      <c r="L85" s="96">
        <f t="shared" si="53"/>
        <v>0</v>
      </c>
      <c r="M85" s="96">
        <f t="shared" si="54"/>
        <v>0</v>
      </c>
      <c r="N85" s="688">
        <f t="shared" si="55"/>
        <v>0</v>
      </c>
      <c r="O85" s="689"/>
      <c r="Q85" s="95">
        <v>41</v>
      </c>
      <c r="R85" s="101" t="str">
        <f t="shared" si="56"/>
        <v>$0.00</v>
      </c>
      <c r="S85" s="101" t="str">
        <f t="shared" si="57"/>
        <v>$0.00</v>
      </c>
      <c r="T85" s="101" t="str">
        <f t="shared" si="58"/>
        <v>$0.00</v>
      </c>
      <c r="U85" s="688" t="str">
        <f t="shared" si="59"/>
        <v>$0.00</v>
      </c>
      <c r="V85" s="689"/>
      <c r="X85" s="95">
        <v>41</v>
      </c>
      <c r="Y85" s="101" t="str">
        <f t="shared" si="60"/>
        <v>$0.00</v>
      </c>
      <c r="Z85" s="101" t="str">
        <f t="shared" si="61"/>
        <v>$0.00</v>
      </c>
      <c r="AA85" s="101" t="str">
        <f t="shared" si="62"/>
        <v>$0.00</v>
      </c>
      <c r="AB85" s="688" t="str">
        <f t="shared" si="63"/>
        <v>$0.00</v>
      </c>
      <c r="AC85" s="689"/>
    </row>
    <row r="86" spans="1:29" x14ac:dyDescent="0.2">
      <c r="A86" s="11" t="s">
        <v>72</v>
      </c>
      <c r="B86" s="409">
        <v>158500</v>
      </c>
      <c r="C86" s="95">
        <v>42</v>
      </c>
      <c r="D86" s="101">
        <f t="shared" si="48"/>
        <v>0</v>
      </c>
      <c r="E86" s="101">
        <f t="shared" si="49"/>
        <v>0</v>
      </c>
      <c r="F86" s="101">
        <f t="shared" si="50"/>
        <v>0</v>
      </c>
      <c r="G86" s="688">
        <f t="shared" si="51"/>
        <v>0</v>
      </c>
      <c r="H86" s="689"/>
      <c r="J86" s="95">
        <v>42</v>
      </c>
      <c r="K86" s="96">
        <f t="shared" si="52"/>
        <v>0</v>
      </c>
      <c r="L86" s="96">
        <f t="shared" si="53"/>
        <v>0</v>
      </c>
      <c r="M86" s="96">
        <f t="shared" si="54"/>
        <v>0</v>
      </c>
      <c r="N86" s="688">
        <f t="shared" si="55"/>
        <v>0</v>
      </c>
      <c r="O86" s="689"/>
      <c r="Q86" s="95">
        <v>42</v>
      </c>
      <c r="R86" s="101">
        <f t="shared" si="56"/>
        <v>0</v>
      </c>
      <c r="S86" s="101">
        <f t="shared" si="57"/>
        <v>0</v>
      </c>
      <c r="T86" s="101">
        <f t="shared" si="58"/>
        <v>0</v>
      </c>
      <c r="U86" s="688">
        <f t="shared" si="59"/>
        <v>0</v>
      </c>
      <c r="V86" s="689"/>
      <c r="X86" s="95">
        <v>42</v>
      </c>
      <c r="Y86" s="101">
        <f t="shared" si="60"/>
        <v>0</v>
      </c>
      <c r="Z86" s="101">
        <f t="shared" si="61"/>
        <v>0</v>
      </c>
      <c r="AA86" s="101">
        <f t="shared" si="62"/>
        <v>0</v>
      </c>
      <c r="AB86" s="688">
        <f t="shared" si="63"/>
        <v>0</v>
      </c>
      <c r="AC86" s="689"/>
    </row>
    <row r="87" spans="1:29" x14ac:dyDescent="0.2">
      <c r="A87" s="11" t="s">
        <v>73</v>
      </c>
      <c r="B87" s="409">
        <v>242222</v>
      </c>
      <c r="C87" s="95">
        <v>43</v>
      </c>
      <c r="D87" s="101" t="str">
        <f t="shared" si="48"/>
        <v>$0.00</v>
      </c>
      <c r="E87" s="101" t="str">
        <f t="shared" si="49"/>
        <v>$0.00</v>
      </c>
      <c r="F87" s="101" t="str">
        <f t="shared" si="50"/>
        <v>$0.00</v>
      </c>
      <c r="G87" s="688" t="str">
        <f t="shared" si="51"/>
        <v>$0.00</v>
      </c>
      <c r="H87" s="689"/>
      <c r="J87" s="95">
        <v>43</v>
      </c>
      <c r="K87" s="96">
        <f t="shared" si="52"/>
        <v>0</v>
      </c>
      <c r="L87" s="96">
        <f t="shared" si="53"/>
        <v>0</v>
      </c>
      <c r="M87" s="96">
        <f t="shared" si="54"/>
        <v>0</v>
      </c>
      <c r="N87" s="688">
        <f t="shared" si="55"/>
        <v>0</v>
      </c>
      <c r="O87" s="689"/>
      <c r="Q87" s="95">
        <v>43</v>
      </c>
      <c r="R87" s="101" t="str">
        <f t="shared" si="56"/>
        <v>$0.00</v>
      </c>
      <c r="S87" s="101" t="str">
        <f t="shared" si="57"/>
        <v>$0.00</v>
      </c>
      <c r="T87" s="101" t="str">
        <f t="shared" si="58"/>
        <v>$0.00</v>
      </c>
      <c r="U87" s="688" t="str">
        <f t="shared" si="59"/>
        <v>$0.00</v>
      </c>
      <c r="V87" s="689"/>
      <c r="X87" s="95">
        <v>43</v>
      </c>
      <c r="Y87" s="101" t="str">
        <f t="shared" si="60"/>
        <v>$0.00</v>
      </c>
      <c r="Z87" s="101" t="str">
        <f t="shared" si="61"/>
        <v>$0.00</v>
      </c>
      <c r="AA87" s="101" t="str">
        <f t="shared" si="62"/>
        <v>$0.00</v>
      </c>
      <c r="AB87" s="688" t="str">
        <f t="shared" si="63"/>
        <v>$0.00</v>
      </c>
      <c r="AC87" s="689"/>
    </row>
    <row r="88" spans="1:29" x14ac:dyDescent="0.2">
      <c r="A88" s="11" t="s">
        <v>74</v>
      </c>
      <c r="B88" s="409">
        <v>250000</v>
      </c>
      <c r="C88" s="95">
        <v>44</v>
      </c>
      <c r="D88" s="101">
        <f t="shared" si="48"/>
        <v>0</v>
      </c>
      <c r="E88" s="101">
        <f t="shared" si="49"/>
        <v>0</v>
      </c>
      <c r="F88" s="101">
        <f t="shared" si="50"/>
        <v>0</v>
      </c>
      <c r="G88" s="688">
        <f t="shared" si="51"/>
        <v>0</v>
      </c>
      <c r="H88" s="689"/>
      <c r="J88" s="95">
        <v>44</v>
      </c>
      <c r="K88" s="96">
        <f t="shared" si="52"/>
        <v>0</v>
      </c>
      <c r="L88" s="96">
        <f t="shared" si="53"/>
        <v>0</v>
      </c>
      <c r="M88" s="96">
        <f t="shared" si="54"/>
        <v>0</v>
      </c>
      <c r="N88" s="688">
        <f t="shared" si="55"/>
        <v>0</v>
      </c>
      <c r="O88" s="689"/>
      <c r="Q88" s="95">
        <v>44</v>
      </c>
      <c r="R88" s="101">
        <f t="shared" si="56"/>
        <v>0</v>
      </c>
      <c r="S88" s="101">
        <f t="shared" si="57"/>
        <v>0</v>
      </c>
      <c r="T88" s="101">
        <f t="shared" si="58"/>
        <v>0</v>
      </c>
      <c r="U88" s="688">
        <f t="shared" si="59"/>
        <v>0</v>
      </c>
      <c r="V88" s="689"/>
      <c r="X88" s="95">
        <v>44</v>
      </c>
      <c r="Y88" s="101">
        <f t="shared" si="60"/>
        <v>0</v>
      </c>
      <c r="Z88" s="101">
        <f t="shared" si="61"/>
        <v>0</v>
      </c>
      <c r="AA88" s="101">
        <f t="shared" si="62"/>
        <v>0</v>
      </c>
      <c r="AB88" s="688">
        <f t="shared" si="63"/>
        <v>0</v>
      </c>
      <c r="AC88" s="689"/>
    </row>
    <row r="89" spans="1:29" x14ac:dyDescent="0.2">
      <c r="A89" s="11" t="s">
        <v>75</v>
      </c>
      <c r="B89" s="409">
        <v>163000</v>
      </c>
      <c r="C89" s="95">
        <v>45</v>
      </c>
      <c r="D89" s="101" t="str">
        <f t="shared" si="48"/>
        <v>$0.00</v>
      </c>
      <c r="E89" s="101" t="str">
        <f t="shared" si="49"/>
        <v>$0.00</v>
      </c>
      <c r="F89" s="101" t="str">
        <f t="shared" si="50"/>
        <v>$0.00</v>
      </c>
      <c r="G89" s="688" t="str">
        <f t="shared" si="51"/>
        <v>$0.00</v>
      </c>
      <c r="H89" s="689"/>
      <c r="J89" s="95">
        <v>45</v>
      </c>
      <c r="K89" s="96">
        <f t="shared" si="52"/>
        <v>0</v>
      </c>
      <c r="L89" s="96">
        <f t="shared" si="53"/>
        <v>0</v>
      </c>
      <c r="M89" s="96">
        <f t="shared" si="54"/>
        <v>0</v>
      </c>
      <c r="N89" s="688">
        <f t="shared" si="55"/>
        <v>0</v>
      </c>
      <c r="O89" s="689"/>
      <c r="Q89" s="95">
        <v>45</v>
      </c>
      <c r="R89" s="101" t="str">
        <f t="shared" si="56"/>
        <v>$0.00</v>
      </c>
      <c r="S89" s="101" t="str">
        <f t="shared" si="57"/>
        <v>$0.00</v>
      </c>
      <c r="T89" s="101" t="str">
        <f t="shared" si="58"/>
        <v>$0.00</v>
      </c>
      <c r="U89" s="688" t="str">
        <f t="shared" si="59"/>
        <v>$0.00</v>
      </c>
      <c r="V89" s="689"/>
      <c r="X89" s="95">
        <v>45</v>
      </c>
      <c r="Y89" s="101" t="str">
        <f t="shared" si="60"/>
        <v>$0.00</v>
      </c>
      <c r="Z89" s="101" t="str">
        <f t="shared" si="61"/>
        <v>$0.00</v>
      </c>
      <c r="AA89" s="101" t="str">
        <f t="shared" si="62"/>
        <v>$0.00</v>
      </c>
      <c r="AB89" s="688" t="str">
        <f t="shared" si="63"/>
        <v>$0.00</v>
      </c>
      <c r="AC89" s="689"/>
    </row>
    <row r="90" spans="1:29" x14ac:dyDescent="0.2">
      <c r="A90" s="11" t="s">
        <v>76</v>
      </c>
      <c r="B90" s="409">
        <v>158500</v>
      </c>
      <c r="C90" s="95">
        <v>46</v>
      </c>
      <c r="D90" s="101">
        <f t="shared" si="48"/>
        <v>0</v>
      </c>
      <c r="E90" s="101">
        <f t="shared" si="49"/>
        <v>0</v>
      </c>
      <c r="F90" s="101">
        <f t="shared" si="50"/>
        <v>0</v>
      </c>
      <c r="G90" s="688">
        <f t="shared" si="51"/>
        <v>0</v>
      </c>
      <c r="H90" s="689"/>
      <c r="J90" s="95">
        <v>46</v>
      </c>
      <c r="K90" s="96">
        <f t="shared" si="52"/>
        <v>0</v>
      </c>
      <c r="L90" s="96">
        <f t="shared" si="53"/>
        <v>0</v>
      </c>
      <c r="M90" s="96">
        <f t="shared" si="54"/>
        <v>0</v>
      </c>
      <c r="N90" s="688">
        <f t="shared" si="55"/>
        <v>0</v>
      </c>
      <c r="O90" s="689"/>
      <c r="Q90" s="95">
        <v>46</v>
      </c>
      <c r="R90" s="101">
        <f t="shared" si="56"/>
        <v>0</v>
      </c>
      <c r="S90" s="101">
        <f t="shared" si="57"/>
        <v>0</v>
      </c>
      <c r="T90" s="101">
        <f t="shared" si="58"/>
        <v>0</v>
      </c>
      <c r="U90" s="688">
        <f t="shared" si="59"/>
        <v>0</v>
      </c>
      <c r="V90" s="689"/>
      <c r="X90" s="95">
        <v>46</v>
      </c>
      <c r="Y90" s="101">
        <f t="shared" si="60"/>
        <v>0</v>
      </c>
      <c r="Z90" s="101">
        <f t="shared" si="61"/>
        <v>0</v>
      </c>
      <c r="AA90" s="101">
        <f t="shared" si="62"/>
        <v>0</v>
      </c>
      <c r="AB90" s="688">
        <f t="shared" si="63"/>
        <v>0</v>
      </c>
      <c r="AC90" s="689"/>
    </row>
    <row r="91" spans="1:29" x14ac:dyDescent="0.2">
      <c r="A91" s="11" t="s">
        <v>77</v>
      </c>
      <c r="B91" s="409">
        <v>158500</v>
      </c>
      <c r="C91" s="95">
        <v>47</v>
      </c>
      <c r="D91" s="101" t="str">
        <f t="shared" si="48"/>
        <v>$0.00</v>
      </c>
      <c r="E91" s="101" t="str">
        <f t="shared" si="49"/>
        <v>$0.00</v>
      </c>
      <c r="F91" s="101" t="str">
        <f t="shared" si="50"/>
        <v>$0.00</v>
      </c>
      <c r="G91" s="688" t="str">
        <f t="shared" si="51"/>
        <v>$0.00</v>
      </c>
      <c r="H91" s="689"/>
      <c r="J91" s="95">
        <v>47</v>
      </c>
      <c r="K91" s="96">
        <f t="shared" si="52"/>
        <v>0</v>
      </c>
      <c r="L91" s="96">
        <f t="shared" si="53"/>
        <v>0</v>
      </c>
      <c r="M91" s="96">
        <f t="shared" si="54"/>
        <v>0</v>
      </c>
      <c r="N91" s="688">
        <f t="shared" si="55"/>
        <v>0</v>
      </c>
      <c r="O91" s="689"/>
      <c r="Q91" s="95">
        <v>47</v>
      </c>
      <c r="R91" s="101" t="str">
        <f t="shared" si="56"/>
        <v>$0.00</v>
      </c>
      <c r="S91" s="101" t="str">
        <f t="shared" si="57"/>
        <v>$0.00</v>
      </c>
      <c r="T91" s="101" t="str">
        <f t="shared" si="58"/>
        <v>$0.00</v>
      </c>
      <c r="U91" s="688" t="str">
        <f t="shared" si="59"/>
        <v>$0.00</v>
      </c>
      <c r="V91" s="689"/>
      <c r="X91" s="95">
        <v>47</v>
      </c>
      <c r="Y91" s="101" t="str">
        <f t="shared" si="60"/>
        <v>$0.00</v>
      </c>
      <c r="Z91" s="101" t="str">
        <f t="shared" si="61"/>
        <v>$0.00</v>
      </c>
      <c r="AA91" s="101" t="str">
        <f t="shared" si="62"/>
        <v>$0.00</v>
      </c>
      <c r="AB91" s="688" t="str">
        <f t="shared" si="63"/>
        <v>$0.00</v>
      </c>
      <c r="AC91" s="689"/>
    </row>
    <row r="92" spans="1:29" x14ac:dyDescent="0.2">
      <c r="A92" s="11" t="s">
        <v>78</v>
      </c>
      <c r="B92" s="409">
        <v>396000</v>
      </c>
      <c r="C92" s="95">
        <v>48</v>
      </c>
      <c r="D92" s="101">
        <f t="shared" si="48"/>
        <v>0</v>
      </c>
      <c r="E92" s="101">
        <f t="shared" si="49"/>
        <v>0</v>
      </c>
      <c r="F92" s="101">
        <f t="shared" si="50"/>
        <v>0</v>
      </c>
      <c r="G92" s="690">
        <f t="shared" si="51"/>
        <v>0</v>
      </c>
      <c r="H92" s="691"/>
      <c r="J92" s="95">
        <v>48</v>
      </c>
      <c r="K92" s="96">
        <f t="shared" si="52"/>
        <v>0</v>
      </c>
      <c r="L92" s="96">
        <f t="shared" si="53"/>
        <v>0</v>
      </c>
      <c r="M92" s="96">
        <f t="shared" si="54"/>
        <v>0</v>
      </c>
      <c r="N92" s="690">
        <f t="shared" si="55"/>
        <v>0</v>
      </c>
      <c r="O92" s="691"/>
      <c r="Q92" s="95">
        <v>48</v>
      </c>
      <c r="R92" s="101">
        <f t="shared" si="56"/>
        <v>0</v>
      </c>
      <c r="S92" s="101">
        <f t="shared" si="57"/>
        <v>0</v>
      </c>
      <c r="T92" s="101">
        <f t="shared" si="58"/>
        <v>0</v>
      </c>
      <c r="U92" s="690">
        <f t="shared" si="59"/>
        <v>0</v>
      </c>
      <c r="V92" s="691"/>
      <c r="X92" s="95">
        <v>48</v>
      </c>
      <c r="Y92" s="101">
        <f t="shared" si="60"/>
        <v>0</v>
      </c>
      <c r="Z92" s="101">
        <f t="shared" si="61"/>
        <v>0</v>
      </c>
      <c r="AA92" s="101">
        <f t="shared" si="62"/>
        <v>0</v>
      </c>
      <c r="AB92" s="690">
        <f t="shared" si="63"/>
        <v>0</v>
      </c>
      <c r="AC92" s="691"/>
    </row>
    <row r="93" spans="1:29" x14ac:dyDescent="0.2">
      <c r="A93" s="11" t="s">
        <v>79</v>
      </c>
      <c r="B93" s="409">
        <v>186875</v>
      </c>
      <c r="C93" s="97" t="s">
        <v>774</v>
      </c>
      <c r="D93" s="104">
        <f>SUM(D81:D92)</f>
        <v>0</v>
      </c>
      <c r="E93" s="104">
        <f>SUM(E81:E92)</f>
        <v>0</v>
      </c>
      <c r="F93" s="104">
        <f>SUM(F81:F92)</f>
        <v>0</v>
      </c>
      <c r="G93" s="692">
        <f>G92</f>
        <v>0</v>
      </c>
      <c r="H93" s="693"/>
      <c r="J93" s="97" t="s">
        <v>774</v>
      </c>
      <c r="K93" s="86">
        <f>SUM(K81:K92)</f>
        <v>0</v>
      </c>
      <c r="L93" s="86">
        <f>SUM(L81:L92)</f>
        <v>0</v>
      </c>
      <c r="M93" s="86">
        <f>SUM(M81:M92)</f>
        <v>0</v>
      </c>
      <c r="N93" s="692">
        <f>N92</f>
        <v>0</v>
      </c>
      <c r="O93" s="711"/>
      <c r="Q93" s="97" t="s">
        <v>774</v>
      </c>
      <c r="R93" s="104">
        <f>SUM(R81:R92)</f>
        <v>0</v>
      </c>
      <c r="S93" s="104">
        <f>SUM(S81:S92)</f>
        <v>0</v>
      </c>
      <c r="T93" s="104">
        <f>SUM(T81:T92)</f>
        <v>0</v>
      </c>
      <c r="U93" s="692">
        <f>U92</f>
        <v>0</v>
      </c>
      <c r="V93" s="693"/>
      <c r="X93" s="97" t="s">
        <v>774</v>
      </c>
      <c r="Y93" s="104">
        <f>SUM(Y81:Y92)</f>
        <v>0</v>
      </c>
      <c r="Z93" s="104">
        <f>SUM(Z81:Z92)</f>
        <v>0</v>
      </c>
      <c r="AA93" s="104">
        <f>SUM(AA81:AA92)</f>
        <v>0</v>
      </c>
      <c r="AB93" s="692">
        <f>AB92</f>
        <v>0</v>
      </c>
      <c r="AC93" s="693"/>
    </row>
    <row r="94" spans="1:29" x14ac:dyDescent="0.2">
      <c r="A94" s="11" t="s">
        <v>80</v>
      </c>
      <c r="B94" s="409">
        <v>216000</v>
      </c>
      <c r="C94" s="95">
        <v>49</v>
      </c>
      <c r="D94" s="101" t="str">
        <f t="shared" ref="D94:D105" si="64">IF(G93&gt;0,G93*($E$36)/12,"$0.00")</f>
        <v>$0.00</v>
      </c>
      <c r="E94" s="101" t="str">
        <f t="shared" ref="E94:E105" si="65">IF(G93&gt;0,IF($E$38=4,"$0.00",IF($E$38=3,"$0.00",IF($E$38=2,"$0.00",+$G$39-D94))),"$0.00")</f>
        <v>$0.00</v>
      </c>
      <c r="F94" s="101" t="str">
        <f t="shared" ref="F94:F105" si="66">IF(G93=0,"$0.00",IF($E$38=4,"$0.00",IF($E$38=3,"$0.00",IF($E$38=2,D94,D94+E94))))</f>
        <v>$0.00</v>
      </c>
      <c r="G94" s="688" t="str">
        <f t="shared" ref="G94:G105" si="67">IF(G93=0,"$0.00",IF($E$38=4,G93+D94,IF($E$38=3,G93+D94,IF($E$38=2,G93,G93-E94))))</f>
        <v>$0.00</v>
      </c>
      <c r="H94" s="689"/>
      <c r="J94" s="95">
        <v>49</v>
      </c>
      <c r="K94" s="96">
        <f t="shared" ref="K94:K105" si="68">N93*($L$36)/12</f>
        <v>0</v>
      </c>
      <c r="L94" s="96">
        <f t="shared" ref="L94:L105" si="69">IF(L90=4,"$0.00",+$N$39-K94)</f>
        <v>0</v>
      </c>
      <c r="M94" s="96">
        <f t="shared" ref="M94:M105" si="70">IF(L90=4,"$0.00",K94+L94)</f>
        <v>0</v>
      </c>
      <c r="N94" s="709">
        <f t="shared" ref="N94:N105" si="71">IF(L90=4,N93+K94,N93-L94)</f>
        <v>0</v>
      </c>
      <c r="O94" s="710"/>
      <c r="Q94" s="95">
        <v>49</v>
      </c>
      <c r="R94" s="101" t="str">
        <f t="shared" ref="R94:R105" si="72">IF(U93&gt;0,U93*($S$36)/12,"$0.00")</f>
        <v>$0.00</v>
      </c>
      <c r="S94" s="101" t="str">
        <f t="shared" ref="S94:S105" si="73">IF(U93&gt;0,IF($S$38=4,"$0.00",IF($S$38=3,"$0.00",IF($S$38=2,"$0.00",+$U$39-R94))),"$0.00")</f>
        <v>$0.00</v>
      </c>
      <c r="T94" s="101" t="str">
        <f t="shared" ref="T94:T105" si="74">IF(U93=0,"$0.00",IF($S$38=4,"$0.00",IF($S$38=3,"$0.00",IF($S$38=2,R94,R94+S94))))</f>
        <v>$0.00</v>
      </c>
      <c r="U94" s="688" t="str">
        <f t="shared" ref="U94:U105" si="75">IF(U93=0,"$0.00",IF($S$38=4,U93+R94,IF($S$38=3,U93+R94,IF($S$38=2,U93,U93-S94))))</f>
        <v>$0.00</v>
      </c>
      <c r="V94" s="689"/>
      <c r="X94" s="95">
        <v>49</v>
      </c>
      <c r="Y94" s="101" t="str">
        <f t="shared" ref="Y94:Y105" si="76">IF(AB93&gt;0,AB93*($Z$36)/12,"$0.00")</f>
        <v>$0.00</v>
      </c>
      <c r="Z94" s="101" t="str">
        <f t="shared" ref="Z94:Z105" si="77">IF(AB93&gt;0,IF($Z$38=4,"$0.00",IF($Z$38=3,"$0.00",IF($Z$38=2,"$0.00",+$AB$39-Y94))),"$0.00")</f>
        <v>$0.00</v>
      </c>
      <c r="AA94" s="101" t="str">
        <f t="shared" ref="AA94:AA105" si="78">IF(AB93=0,"$0.00",IF($Z$38=4,"$0.00",IF($Z$38=3,"$0.00",IF($Z$38=2,Y94,Y94+Z94))))</f>
        <v>$0.00</v>
      </c>
      <c r="AB94" s="688" t="str">
        <f t="shared" ref="AB94:AB105" si="79">IF(AB93=0,"$0.00",IF($Z$38=4,AB93+Y94,IF($Z$38=3,AB93+Y94,IF($Z$38=2,AB93,AB93-Z94))))</f>
        <v>$0.00</v>
      </c>
      <c r="AC94" s="689"/>
    </row>
    <row r="95" spans="1:29" x14ac:dyDescent="0.2">
      <c r="A95" s="12" t="s">
        <v>81</v>
      </c>
      <c r="B95" s="409">
        <v>245802</v>
      </c>
      <c r="C95" s="95">
        <v>50</v>
      </c>
      <c r="D95" s="101">
        <f t="shared" si="64"/>
        <v>0</v>
      </c>
      <c r="E95" s="101">
        <f t="shared" si="65"/>
        <v>0</v>
      </c>
      <c r="F95" s="101">
        <f t="shared" si="66"/>
        <v>0</v>
      </c>
      <c r="G95" s="688">
        <f t="shared" si="67"/>
        <v>0</v>
      </c>
      <c r="H95" s="689"/>
      <c r="J95" s="95">
        <v>50</v>
      </c>
      <c r="K95" s="96">
        <f t="shared" si="68"/>
        <v>0</v>
      </c>
      <c r="L95" s="96">
        <f t="shared" si="69"/>
        <v>0</v>
      </c>
      <c r="M95" s="96">
        <f t="shared" si="70"/>
        <v>0</v>
      </c>
      <c r="N95" s="688">
        <f t="shared" si="71"/>
        <v>0</v>
      </c>
      <c r="O95" s="689"/>
      <c r="Q95" s="95">
        <v>50</v>
      </c>
      <c r="R95" s="101">
        <f t="shared" si="72"/>
        <v>0</v>
      </c>
      <c r="S95" s="101">
        <f t="shared" si="73"/>
        <v>0</v>
      </c>
      <c r="T95" s="101">
        <f t="shared" si="74"/>
        <v>0</v>
      </c>
      <c r="U95" s="688">
        <f t="shared" si="75"/>
        <v>0</v>
      </c>
      <c r="V95" s="689"/>
      <c r="X95" s="95">
        <v>50</v>
      </c>
      <c r="Y95" s="101">
        <f t="shared" si="76"/>
        <v>0</v>
      </c>
      <c r="Z95" s="101">
        <f t="shared" si="77"/>
        <v>0</v>
      </c>
      <c r="AA95" s="101">
        <f t="shared" si="78"/>
        <v>0</v>
      </c>
      <c r="AB95" s="688">
        <f t="shared" si="79"/>
        <v>0</v>
      </c>
      <c r="AC95" s="689"/>
    </row>
    <row r="96" spans="1:29" x14ac:dyDescent="0.2">
      <c r="A96" s="12" t="s">
        <v>82</v>
      </c>
      <c r="B96" s="409">
        <v>280000</v>
      </c>
      <c r="C96" s="95">
        <v>51</v>
      </c>
      <c r="D96" s="101" t="str">
        <f t="shared" si="64"/>
        <v>$0.00</v>
      </c>
      <c r="E96" s="101" t="str">
        <f t="shared" si="65"/>
        <v>$0.00</v>
      </c>
      <c r="F96" s="101" t="str">
        <f t="shared" si="66"/>
        <v>$0.00</v>
      </c>
      <c r="G96" s="688" t="str">
        <f t="shared" si="67"/>
        <v>$0.00</v>
      </c>
      <c r="H96" s="689"/>
      <c r="J96" s="95">
        <v>51</v>
      </c>
      <c r="K96" s="96">
        <f t="shared" si="68"/>
        <v>0</v>
      </c>
      <c r="L96" s="96">
        <f t="shared" si="69"/>
        <v>0</v>
      </c>
      <c r="M96" s="96">
        <f t="shared" si="70"/>
        <v>0</v>
      </c>
      <c r="N96" s="688">
        <f t="shared" si="71"/>
        <v>0</v>
      </c>
      <c r="O96" s="689"/>
      <c r="Q96" s="95">
        <v>51</v>
      </c>
      <c r="R96" s="101" t="str">
        <f t="shared" si="72"/>
        <v>$0.00</v>
      </c>
      <c r="S96" s="101" t="str">
        <f t="shared" si="73"/>
        <v>$0.00</v>
      </c>
      <c r="T96" s="101" t="str">
        <f t="shared" si="74"/>
        <v>$0.00</v>
      </c>
      <c r="U96" s="688" t="str">
        <f t="shared" si="75"/>
        <v>$0.00</v>
      </c>
      <c r="V96" s="689"/>
      <c r="X96" s="95">
        <v>51</v>
      </c>
      <c r="Y96" s="101" t="str">
        <f t="shared" si="76"/>
        <v>$0.00</v>
      </c>
      <c r="Z96" s="101" t="str">
        <f t="shared" si="77"/>
        <v>$0.00</v>
      </c>
      <c r="AA96" s="101" t="str">
        <f t="shared" si="78"/>
        <v>$0.00</v>
      </c>
      <c r="AB96" s="688" t="str">
        <f t="shared" si="79"/>
        <v>$0.00</v>
      </c>
      <c r="AC96" s="689"/>
    </row>
    <row r="97" spans="1:29" x14ac:dyDescent="0.2">
      <c r="A97" s="12" t="s">
        <v>83</v>
      </c>
      <c r="B97" s="409">
        <v>235000</v>
      </c>
      <c r="C97" s="95">
        <v>52</v>
      </c>
      <c r="D97" s="101">
        <f t="shared" si="64"/>
        <v>0</v>
      </c>
      <c r="E97" s="101">
        <f t="shared" si="65"/>
        <v>0</v>
      </c>
      <c r="F97" s="101">
        <f t="shared" si="66"/>
        <v>0</v>
      </c>
      <c r="G97" s="688">
        <f t="shared" si="67"/>
        <v>0</v>
      </c>
      <c r="H97" s="689"/>
      <c r="J97" s="95">
        <v>52</v>
      </c>
      <c r="K97" s="96">
        <f t="shared" si="68"/>
        <v>0</v>
      </c>
      <c r="L97" s="96">
        <f t="shared" si="69"/>
        <v>0</v>
      </c>
      <c r="M97" s="96">
        <f t="shared" si="70"/>
        <v>0</v>
      </c>
      <c r="N97" s="688">
        <f t="shared" si="71"/>
        <v>0</v>
      </c>
      <c r="O97" s="689"/>
      <c r="Q97" s="95">
        <v>52</v>
      </c>
      <c r="R97" s="101">
        <f t="shared" si="72"/>
        <v>0</v>
      </c>
      <c r="S97" s="101">
        <f t="shared" si="73"/>
        <v>0</v>
      </c>
      <c r="T97" s="101">
        <f t="shared" si="74"/>
        <v>0</v>
      </c>
      <c r="U97" s="688">
        <f t="shared" si="75"/>
        <v>0</v>
      </c>
      <c r="V97" s="689"/>
      <c r="X97" s="95">
        <v>52</v>
      </c>
      <c r="Y97" s="101">
        <f t="shared" si="76"/>
        <v>0</v>
      </c>
      <c r="Z97" s="101">
        <f t="shared" si="77"/>
        <v>0</v>
      </c>
      <c r="AA97" s="101">
        <f t="shared" si="78"/>
        <v>0</v>
      </c>
      <c r="AB97" s="688">
        <f t="shared" si="79"/>
        <v>0</v>
      </c>
      <c r="AC97" s="689"/>
    </row>
    <row r="98" spans="1:29" x14ac:dyDescent="0.2">
      <c r="A98" s="12" t="s">
        <v>84</v>
      </c>
      <c r="B98" s="409">
        <v>158500</v>
      </c>
      <c r="C98" s="95">
        <v>53</v>
      </c>
      <c r="D98" s="101" t="str">
        <f t="shared" si="64"/>
        <v>$0.00</v>
      </c>
      <c r="E98" s="101" t="str">
        <f t="shared" si="65"/>
        <v>$0.00</v>
      </c>
      <c r="F98" s="101" t="str">
        <f t="shared" si="66"/>
        <v>$0.00</v>
      </c>
      <c r="G98" s="688" t="str">
        <f t="shared" si="67"/>
        <v>$0.00</v>
      </c>
      <c r="H98" s="689"/>
      <c r="J98" s="95">
        <v>53</v>
      </c>
      <c r="K98" s="96">
        <f t="shared" si="68"/>
        <v>0</v>
      </c>
      <c r="L98" s="96">
        <f t="shared" si="69"/>
        <v>0</v>
      </c>
      <c r="M98" s="96">
        <f t="shared" si="70"/>
        <v>0</v>
      </c>
      <c r="N98" s="688">
        <f t="shared" si="71"/>
        <v>0</v>
      </c>
      <c r="O98" s="689"/>
      <c r="Q98" s="95">
        <v>53</v>
      </c>
      <c r="R98" s="101" t="str">
        <f t="shared" si="72"/>
        <v>$0.00</v>
      </c>
      <c r="S98" s="101" t="str">
        <f t="shared" si="73"/>
        <v>$0.00</v>
      </c>
      <c r="T98" s="101" t="str">
        <f t="shared" si="74"/>
        <v>$0.00</v>
      </c>
      <c r="U98" s="688" t="str">
        <f t="shared" si="75"/>
        <v>$0.00</v>
      </c>
      <c r="V98" s="689"/>
      <c r="X98" s="95">
        <v>53</v>
      </c>
      <c r="Y98" s="101" t="str">
        <f t="shared" si="76"/>
        <v>$0.00</v>
      </c>
      <c r="Z98" s="101" t="str">
        <f t="shared" si="77"/>
        <v>$0.00</v>
      </c>
      <c r="AA98" s="101" t="str">
        <f t="shared" si="78"/>
        <v>$0.00</v>
      </c>
      <c r="AB98" s="688" t="str">
        <f t="shared" si="79"/>
        <v>$0.00</v>
      </c>
      <c r="AC98" s="689"/>
    </row>
    <row r="99" spans="1:29" x14ac:dyDescent="0.2">
      <c r="A99" s="19" t="s">
        <v>85</v>
      </c>
      <c r="B99" s="410">
        <v>210000</v>
      </c>
      <c r="C99" s="95">
        <v>54</v>
      </c>
      <c r="D99" s="101">
        <f t="shared" si="64"/>
        <v>0</v>
      </c>
      <c r="E99" s="101">
        <f t="shared" si="65"/>
        <v>0</v>
      </c>
      <c r="F99" s="101">
        <f t="shared" si="66"/>
        <v>0</v>
      </c>
      <c r="G99" s="688">
        <f t="shared" si="67"/>
        <v>0</v>
      </c>
      <c r="H99" s="689"/>
      <c r="J99" s="95">
        <v>54</v>
      </c>
      <c r="K99" s="96">
        <f t="shared" si="68"/>
        <v>0</v>
      </c>
      <c r="L99" s="96">
        <f t="shared" si="69"/>
        <v>0</v>
      </c>
      <c r="M99" s="96">
        <f t="shared" si="70"/>
        <v>0</v>
      </c>
      <c r="N99" s="688">
        <f t="shared" si="71"/>
        <v>0</v>
      </c>
      <c r="O99" s="689"/>
      <c r="Q99" s="95">
        <v>54</v>
      </c>
      <c r="R99" s="101">
        <f t="shared" si="72"/>
        <v>0</v>
      </c>
      <c r="S99" s="101">
        <f t="shared" si="73"/>
        <v>0</v>
      </c>
      <c r="T99" s="101">
        <f t="shared" si="74"/>
        <v>0</v>
      </c>
      <c r="U99" s="688">
        <f t="shared" si="75"/>
        <v>0</v>
      </c>
      <c r="V99" s="689"/>
      <c r="X99" s="95">
        <v>54</v>
      </c>
      <c r="Y99" s="101">
        <f t="shared" si="76"/>
        <v>0</v>
      </c>
      <c r="Z99" s="101">
        <f t="shared" si="77"/>
        <v>0</v>
      </c>
      <c r="AA99" s="101">
        <f t="shared" si="78"/>
        <v>0</v>
      </c>
      <c r="AB99" s="688">
        <f t="shared" si="79"/>
        <v>0</v>
      </c>
      <c r="AC99" s="689"/>
    </row>
    <row r="100" spans="1:29" x14ac:dyDescent="0.2">
      <c r="A100" s="21" t="s">
        <v>62</v>
      </c>
      <c r="B100" s="407">
        <v>42492</v>
      </c>
      <c r="C100" s="95">
        <v>55</v>
      </c>
      <c r="D100" s="101" t="str">
        <f t="shared" si="64"/>
        <v>$0.00</v>
      </c>
      <c r="E100" s="101" t="str">
        <f t="shared" si="65"/>
        <v>$0.00</v>
      </c>
      <c r="F100" s="101" t="str">
        <f t="shared" si="66"/>
        <v>$0.00</v>
      </c>
      <c r="G100" s="688" t="str">
        <f t="shared" si="67"/>
        <v>$0.00</v>
      </c>
      <c r="H100" s="689"/>
      <c r="J100" s="95">
        <v>55</v>
      </c>
      <c r="K100" s="96">
        <f t="shared" si="68"/>
        <v>0</v>
      </c>
      <c r="L100" s="96">
        <f t="shared" si="69"/>
        <v>0</v>
      </c>
      <c r="M100" s="96">
        <f t="shared" si="70"/>
        <v>0</v>
      </c>
      <c r="N100" s="688">
        <f t="shared" si="71"/>
        <v>0</v>
      </c>
      <c r="O100" s="689"/>
      <c r="Q100" s="95">
        <v>55</v>
      </c>
      <c r="R100" s="101" t="str">
        <f t="shared" si="72"/>
        <v>$0.00</v>
      </c>
      <c r="S100" s="101" t="str">
        <f t="shared" si="73"/>
        <v>$0.00</v>
      </c>
      <c r="T100" s="101" t="str">
        <f t="shared" si="74"/>
        <v>$0.00</v>
      </c>
      <c r="U100" s="688" t="str">
        <f t="shared" si="75"/>
        <v>$0.00</v>
      </c>
      <c r="V100" s="689"/>
      <c r="X100" s="95">
        <v>55</v>
      </c>
      <c r="Y100" s="101" t="str">
        <f t="shared" si="76"/>
        <v>$0.00</v>
      </c>
      <c r="Z100" s="101" t="str">
        <f t="shared" si="77"/>
        <v>$0.00</v>
      </c>
      <c r="AA100" s="101" t="str">
        <f t="shared" si="78"/>
        <v>$0.00</v>
      </c>
      <c r="AB100" s="688" t="str">
        <f t="shared" si="79"/>
        <v>$0.00</v>
      </c>
      <c r="AC100" s="689"/>
    </row>
    <row r="101" spans="1:29" x14ac:dyDescent="0.2">
      <c r="A101" s="9" t="s">
        <v>1097</v>
      </c>
      <c r="C101" s="95">
        <v>56</v>
      </c>
      <c r="D101" s="101">
        <f t="shared" si="64"/>
        <v>0</v>
      </c>
      <c r="E101" s="101">
        <f t="shared" si="65"/>
        <v>0</v>
      </c>
      <c r="F101" s="101">
        <f t="shared" si="66"/>
        <v>0</v>
      </c>
      <c r="G101" s="688">
        <f t="shared" si="67"/>
        <v>0</v>
      </c>
      <c r="H101" s="689"/>
      <c r="J101" s="95">
        <v>56</v>
      </c>
      <c r="K101" s="96">
        <f t="shared" si="68"/>
        <v>0</v>
      </c>
      <c r="L101" s="96">
        <f t="shared" si="69"/>
        <v>0</v>
      </c>
      <c r="M101" s="96">
        <f t="shared" si="70"/>
        <v>0</v>
      </c>
      <c r="N101" s="688">
        <f t="shared" si="71"/>
        <v>0</v>
      </c>
      <c r="O101" s="689"/>
      <c r="Q101" s="95">
        <v>56</v>
      </c>
      <c r="R101" s="101">
        <f t="shared" si="72"/>
        <v>0</v>
      </c>
      <c r="S101" s="101">
        <f t="shared" si="73"/>
        <v>0</v>
      </c>
      <c r="T101" s="101">
        <f t="shared" si="74"/>
        <v>0</v>
      </c>
      <c r="U101" s="688">
        <f t="shared" si="75"/>
        <v>0</v>
      </c>
      <c r="V101" s="689"/>
      <c r="X101" s="95">
        <v>56</v>
      </c>
      <c r="Y101" s="101">
        <f t="shared" si="76"/>
        <v>0</v>
      </c>
      <c r="Z101" s="101">
        <f t="shared" si="77"/>
        <v>0</v>
      </c>
      <c r="AA101" s="101">
        <f t="shared" si="78"/>
        <v>0</v>
      </c>
      <c r="AB101" s="688">
        <f t="shared" si="79"/>
        <v>0</v>
      </c>
      <c r="AC101" s="689"/>
    </row>
    <row r="102" spans="1:29" x14ac:dyDescent="0.2">
      <c r="C102" s="95">
        <v>57</v>
      </c>
      <c r="D102" s="101" t="str">
        <f t="shared" si="64"/>
        <v>$0.00</v>
      </c>
      <c r="E102" s="101" t="str">
        <f t="shared" si="65"/>
        <v>$0.00</v>
      </c>
      <c r="F102" s="101" t="str">
        <f t="shared" si="66"/>
        <v>$0.00</v>
      </c>
      <c r="G102" s="688" t="str">
        <f t="shared" si="67"/>
        <v>$0.00</v>
      </c>
      <c r="H102" s="689"/>
      <c r="J102" s="95">
        <v>57</v>
      </c>
      <c r="K102" s="96">
        <f t="shared" si="68"/>
        <v>0</v>
      </c>
      <c r="L102" s="96">
        <f t="shared" si="69"/>
        <v>0</v>
      </c>
      <c r="M102" s="96">
        <f t="shared" si="70"/>
        <v>0</v>
      </c>
      <c r="N102" s="688">
        <f t="shared" si="71"/>
        <v>0</v>
      </c>
      <c r="O102" s="689"/>
      <c r="Q102" s="95">
        <v>57</v>
      </c>
      <c r="R102" s="101" t="str">
        <f t="shared" si="72"/>
        <v>$0.00</v>
      </c>
      <c r="S102" s="101" t="str">
        <f t="shared" si="73"/>
        <v>$0.00</v>
      </c>
      <c r="T102" s="101" t="str">
        <f t="shared" si="74"/>
        <v>$0.00</v>
      </c>
      <c r="U102" s="688" t="str">
        <f t="shared" si="75"/>
        <v>$0.00</v>
      </c>
      <c r="V102" s="689"/>
      <c r="X102" s="95">
        <v>57</v>
      </c>
      <c r="Y102" s="101" t="str">
        <f t="shared" si="76"/>
        <v>$0.00</v>
      </c>
      <c r="Z102" s="101" t="str">
        <f t="shared" si="77"/>
        <v>$0.00</v>
      </c>
      <c r="AA102" s="101" t="str">
        <f t="shared" si="78"/>
        <v>$0.00</v>
      </c>
      <c r="AB102" s="688" t="str">
        <f t="shared" si="79"/>
        <v>$0.00</v>
      </c>
      <c r="AC102" s="689"/>
    </row>
    <row r="103" spans="1:29" x14ac:dyDescent="0.2">
      <c r="C103" s="95">
        <v>58</v>
      </c>
      <c r="D103" s="101">
        <f t="shared" si="64"/>
        <v>0</v>
      </c>
      <c r="E103" s="101">
        <f t="shared" si="65"/>
        <v>0</v>
      </c>
      <c r="F103" s="101">
        <f t="shared" si="66"/>
        <v>0</v>
      </c>
      <c r="G103" s="688">
        <f t="shared" si="67"/>
        <v>0</v>
      </c>
      <c r="H103" s="689"/>
      <c r="J103" s="95">
        <v>58</v>
      </c>
      <c r="K103" s="96">
        <f t="shared" si="68"/>
        <v>0</v>
      </c>
      <c r="L103" s="96">
        <f t="shared" si="69"/>
        <v>0</v>
      </c>
      <c r="M103" s="96">
        <f t="shared" si="70"/>
        <v>0</v>
      </c>
      <c r="N103" s="688">
        <f t="shared" si="71"/>
        <v>0</v>
      </c>
      <c r="O103" s="689"/>
      <c r="Q103" s="95">
        <v>58</v>
      </c>
      <c r="R103" s="101">
        <f t="shared" si="72"/>
        <v>0</v>
      </c>
      <c r="S103" s="101">
        <f t="shared" si="73"/>
        <v>0</v>
      </c>
      <c r="T103" s="101">
        <f t="shared" si="74"/>
        <v>0</v>
      </c>
      <c r="U103" s="688">
        <f t="shared" si="75"/>
        <v>0</v>
      </c>
      <c r="V103" s="689"/>
      <c r="X103" s="95">
        <v>58</v>
      </c>
      <c r="Y103" s="101">
        <f t="shared" si="76"/>
        <v>0</v>
      </c>
      <c r="Z103" s="101">
        <f t="shared" si="77"/>
        <v>0</v>
      </c>
      <c r="AA103" s="101">
        <f t="shared" si="78"/>
        <v>0</v>
      </c>
      <c r="AB103" s="688">
        <f t="shared" si="79"/>
        <v>0</v>
      </c>
      <c r="AC103" s="689"/>
    </row>
    <row r="104" spans="1:29" x14ac:dyDescent="0.2">
      <c r="C104" s="95">
        <v>59</v>
      </c>
      <c r="D104" s="101" t="str">
        <f t="shared" si="64"/>
        <v>$0.00</v>
      </c>
      <c r="E104" s="101" t="str">
        <f t="shared" si="65"/>
        <v>$0.00</v>
      </c>
      <c r="F104" s="101" t="str">
        <f t="shared" si="66"/>
        <v>$0.00</v>
      </c>
      <c r="G104" s="688" t="str">
        <f t="shared" si="67"/>
        <v>$0.00</v>
      </c>
      <c r="H104" s="689"/>
      <c r="J104" s="95">
        <v>59</v>
      </c>
      <c r="K104" s="96">
        <f t="shared" si="68"/>
        <v>0</v>
      </c>
      <c r="L104" s="96">
        <f t="shared" si="69"/>
        <v>0</v>
      </c>
      <c r="M104" s="96">
        <f t="shared" si="70"/>
        <v>0</v>
      </c>
      <c r="N104" s="688">
        <f t="shared" si="71"/>
        <v>0</v>
      </c>
      <c r="O104" s="689"/>
      <c r="Q104" s="95">
        <v>59</v>
      </c>
      <c r="R104" s="101" t="str">
        <f t="shared" si="72"/>
        <v>$0.00</v>
      </c>
      <c r="S104" s="101" t="str">
        <f t="shared" si="73"/>
        <v>$0.00</v>
      </c>
      <c r="T104" s="101" t="str">
        <f t="shared" si="74"/>
        <v>$0.00</v>
      </c>
      <c r="U104" s="688" t="str">
        <f t="shared" si="75"/>
        <v>$0.00</v>
      </c>
      <c r="V104" s="689"/>
      <c r="X104" s="95">
        <v>59</v>
      </c>
      <c r="Y104" s="101" t="str">
        <f t="shared" si="76"/>
        <v>$0.00</v>
      </c>
      <c r="Z104" s="101" t="str">
        <f t="shared" si="77"/>
        <v>$0.00</v>
      </c>
      <c r="AA104" s="101" t="str">
        <f t="shared" si="78"/>
        <v>$0.00</v>
      </c>
      <c r="AB104" s="688" t="str">
        <f t="shared" si="79"/>
        <v>$0.00</v>
      </c>
      <c r="AC104" s="689"/>
    </row>
    <row r="105" spans="1:29" x14ac:dyDescent="0.2">
      <c r="C105" s="95">
        <v>60</v>
      </c>
      <c r="D105" s="101">
        <f t="shared" si="64"/>
        <v>0</v>
      </c>
      <c r="E105" s="101">
        <f t="shared" si="65"/>
        <v>0</v>
      </c>
      <c r="F105" s="101">
        <f t="shared" si="66"/>
        <v>0</v>
      </c>
      <c r="G105" s="690">
        <f t="shared" si="67"/>
        <v>0</v>
      </c>
      <c r="H105" s="691"/>
      <c r="J105" s="95">
        <v>60</v>
      </c>
      <c r="K105" s="96">
        <f t="shared" si="68"/>
        <v>0</v>
      </c>
      <c r="L105" s="96">
        <f t="shared" si="69"/>
        <v>0</v>
      </c>
      <c r="M105" s="96">
        <f t="shared" si="70"/>
        <v>0</v>
      </c>
      <c r="N105" s="690">
        <f t="shared" si="71"/>
        <v>0</v>
      </c>
      <c r="O105" s="691"/>
      <c r="Q105" s="95">
        <v>60</v>
      </c>
      <c r="R105" s="101">
        <f t="shared" si="72"/>
        <v>0</v>
      </c>
      <c r="S105" s="101">
        <f t="shared" si="73"/>
        <v>0</v>
      </c>
      <c r="T105" s="101">
        <f t="shared" si="74"/>
        <v>0</v>
      </c>
      <c r="U105" s="690">
        <f t="shared" si="75"/>
        <v>0</v>
      </c>
      <c r="V105" s="691"/>
      <c r="X105" s="95">
        <v>60</v>
      </c>
      <c r="Y105" s="101">
        <f t="shared" si="76"/>
        <v>0</v>
      </c>
      <c r="Z105" s="101">
        <f t="shared" si="77"/>
        <v>0</v>
      </c>
      <c r="AA105" s="101">
        <f t="shared" si="78"/>
        <v>0</v>
      </c>
      <c r="AB105" s="690">
        <f t="shared" si="79"/>
        <v>0</v>
      </c>
      <c r="AC105" s="691"/>
    </row>
    <row r="106" spans="1:29" x14ac:dyDescent="0.2">
      <c r="C106" s="97" t="s">
        <v>775</v>
      </c>
      <c r="D106" s="104">
        <f>SUM(D94:D105)</f>
        <v>0</v>
      </c>
      <c r="E106" s="104">
        <f>SUM(E94:E105)</f>
        <v>0</v>
      </c>
      <c r="F106" s="104">
        <f>SUM(F94:F105)</f>
        <v>0</v>
      </c>
      <c r="G106" s="692">
        <f>G105</f>
        <v>0</v>
      </c>
      <c r="H106" s="693"/>
      <c r="J106" s="97" t="s">
        <v>775</v>
      </c>
      <c r="K106" s="86">
        <f>SUM(K94:K105)</f>
        <v>0</v>
      </c>
      <c r="L106" s="86">
        <f>SUM(L94:L105)</f>
        <v>0</v>
      </c>
      <c r="M106" s="86">
        <f>SUM(M94:M105)</f>
        <v>0</v>
      </c>
      <c r="N106" s="692">
        <f>N105</f>
        <v>0</v>
      </c>
      <c r="O106" s="711"/>
      <c r="Q106" s="97" t="s">
        <v>775</v>
      </c>
      <c r="R106" s="104">
        <f>SUM(R94:R105)</f>
        <v>0</v>
      </c>
      <c r="S106" s="104">
        <f>SUM(S94:S105)</f>
        <v>0</v>
      </c>
      <c r="T106" s="104">
        <f>SUM(T94:T105)</f>
        <v>0</v>
      </c>
      <c r="U106" s="692">
        <f>U105</f>
        <v>0</v>
      </c>
      <c r="V106" s="693"/>
      <c r="X106" s="97" t="s">
        <v>775</v>
      </c>
      <c r="Y106" s="104">
        <f>SUM(Y94:Y105)</f>
        <v>0</v>
      </c>
      <c r="Z106" s="104">
        <f>SUM(Z94:Z105)</f>
        <v>0</v>
      </c>
      <c r="AA106" s="104">
        <f>SUM(AA94:AA105)</f>
        <v>0</v>
      </c>
      <c r="AB106" s="692">
        <f>AB105</f>
        <v>0</v>
      </c>
      <c r="AC106" s="693"/>
    </row>
    <row r="107" spans="1:29" x14ac:dyDescent="0.2">
      <c r="C107" s="95">
        <v>61</v>
      </c>
      <c r="D107" s="101" t="str">
        <f t="shared" ref="D107:D118" si="80">IF(G106&gt;0,G106*($E$36)/12,"$0.00")</f>
        <v>$0.00</v>
      </c>
      <c r="E107" s="101" t="str">
        <f t="shared" ref="E107:E118" si="81">IF(G106&gt;0,IF($E$38=4,"$0.00",IF($E$38=3,"$0.00",IF($E$38=2,"$0.00",+$G$39-D107))),"$0.00")</f>
        <v>$0.00</v>
      </c>
      <c r="F107" s="101" t="str">
        <f t="shared" ref="F107:F118" si="82">IF(G106=0,"$0.00",IF($E$38=4,"$0.00",IF($E$38=3,"$0.00",IF($E$38=2,D107,D107+E107))))</f>
        <v>$0.00</v>
      </c>
      <c r="G107" s="688" t="str">
        <f t="shared" ref="G107:G118" si="83">IF(G106=0,"$0.00",IF($E$38=4,G106+D107,IF($E$38=3,G106+D107,IF($E$38=2,G106,G106-E107))))</f>
        <v>$0.00</v>
      </c>
      <c r="H107" s="689"/>
      <c r="J107" s="95">
        <v>61</v>
      </c>
      <c r="K107" s="96">
        <f t="shared" ref="K107:K118" si="84">N106*($L$36)/12</f>
        <v>0</v>
      </c>
      <c r="L107" s="96">
        <f t="shared" ref="L107:L118" si="85">IF(L103=4,"$0.00",+$N$39-K107)</f>
        <v>0</v>
      </c>
      <c r="M107" s="96">
        <f t="shared" ref="M107:M118" si="86">IF(L103=4,"$0.00",K107+L107)</f>
        <v>0</v>
      </c>
      <c r="N107" s="709">
        <f t="shared" ref="N107:N118" si="87">IF(L103=4,N106+K107,N106-L107)</f>
        <v>0</v>
      </c>
      <c r="O107" s="710"/>
      <c r="Q107" s="95">
        <v>61</v>
      </c>
      <c r="R107" s="101" t="str">
        <f t="shared" ref="R107:R118" si="88">IF(U106&gt;0,U106*($S$36)/12,"$0.00")</f>
        <v>$0.00</v>
      </c>
      <c r="S107" s="101" t="str">
        <f t="shared" ref="S107:S118" si="89">IF(U106&gt;0,IF($S$38=4,"$0.00",IF($S$38=3,"$0.00",IF($S$38=2,"$0.00",+$U$39-R107))),"$0.00")</f>
        <v>$0.00</v>
      </c>
      <c r="T107" s="101" t="str">
        <f t="shared" ref="T107:T118" si="90">IF(U106=0,"$0.00",IF($S$38=4,"$0.00",IF($S$38=3,"$0.00",IF($S$38=2,R107,R107+S107))))</f>
        <v>$0.00</v>
      </c>
      <c r="U107" s="688" t="str">
        <f t="shared" ref="U107:U118" si="91">IF(U106=0,"$0.00",IF($S$38=4,U106+R107,IF($S$38=3,U106+R107,IF($S$38=2,U106,U106-S107))))</f>
        <v>$0.00</v>
      </c>
      <c r="V107" s="689"/>
      <c r="X107" s="95">
        <v>61</v>
      </c>
      <c r="Y107" s="101" t="str">
        <f t="shared" ref="Y107:Y118" si="92">IF(AB106&gt;0,AB106*($Z$36)/12,"$0.00")</f>
        <v>$0.00</v>
      </c>
      <c r="Z107" s="101" t="str">
        <f t="shared" ref="Z107:Z118" si="93">IF(AB106&gt;0,IF($Z$38=4,"$0.00",IF($Z$38=3,"$0.00",IF($Z$38=2,"$0.00",+$AB$39-Y107))),"$0.00")</f>
        <v>$0.00</v>
      </c>
      <c r="AA107" s="101" t="str">
        <f t="shared" ref="AA107:AA118" si="94">IF(AB106=0,"$0.00",IF($Z$38=4,"$0.00",IF($Z$38=3,"$0.00",IF($Z$38=2,Y107,Y107+Z107))))</f>
        <v>$0.00</v>
      </c>
      <c r="AB107" s="688" t="str">
        <f t="shared" ref="AB107:AB118" si="95">IF(AB106=0,"$0.00",IF($Z$38=4,AB106+Y107,IF($Z$38=3,AB106+Y107,IF($Z$38=2,AB106,AB106-Z107))))</f>
        <v>$0.00</v>
      </c>
      <c r="AC107" s="689"/>
    </row>
    <row r="108" spans="1:29" x14ac:dyDescent="0.2">
      <c r="C108" s="95">
        <v>62</v>
      </c>
      <c r="D108" s="101">
        <f t="shared" si="80"/>
        <v>0</v>
      </c>
      <c r="E108" s="101">
        <f t="shared" si="81"/>
        <v>0</v>
      </c>
      <c r="F108" s="101">
        <f t="shared" si="82"/>
        <v>0</v>
      </c>
      <c r="G108" s="688">
        <f t="shared" si="83"/>
        <v>0</v>
      </c>
      <c r="H108" s="689"/>
      <c r="J108" s="95">
        <v>62</v>
      </c>
      <c r="K108" s="96">
        <f t="shared" si="84"/>
        <v>0</v>
      </c>
      <c r="L108" s="96">
        <f t="shared" si="85"/>
        <v>0</v>
      </c>
      <c r="M108" s="96">
        <f t="shared" si="86"/>
        <v>0</v>
      </c>
      <c r="N108" s="688">
        <f t="shared" si="87"/>
        <v>0</v>
      </c>
      <c r="O108" s="689"/>
      <c r="Q108" s="95">
        <v>62</v>
      </c>
      <c r="R108" s="101">
        <f t="shared" si="88"/>
        <v>0</v>
      </c>
      <c r="S108" s="101">
        <f t="shared" si="89"/>
        <v>0</v>
      </c>
      <c r="T108" s="101">
        <f t="shared" si="90"/>
        <v>0</v>
      </c>
      <c r="U108" s="688">
        <f t="shared" si="91"/>
        <v>0</v>
      </c>
      <c r="V108" s="689"/>
      <c r="X108" s="95">
        <v>62</v>
      </c>
      <c r="Y108" s="101">
        <f t="shared" si="92"/>
        <v>0</v>
      </c>
      <c r="Z108" s="101">
        <f t="shared" si="93"/>
        <v>0</v>
      </c>
      <c r="AA108" s="101">
        <f t="shared" si="94"/>
        <v>0</v>
      </c>
      <c r="AB108" s="688">
        <f t="shared" si="95"/>
        <v>0</v>
      </c>
      <c r="AC108" s="689"/>
    </row>
    <row r="109" spans="1:29" x14ac:dyDescent="0.2">
      <c r="C109" s="95">
        <v>63</v>
      </c>
      <c r="D109" s="101" t="str">
        <f t="shared" si="80"/>
        <v>$0.00</v>
      </c>
      <c r="E109" s="101" t="str">
        <f t="shared" si="81"/>
        <v>$0.00</v>
      </c>
      <c r="F109" s="101" t="str">
        <f t="shared" si="82"/>
        <v>$0.00</v>
      </c>
      <c r="G109" s="688" t="str">
        <f t="shared" si="83"/>
        <v>$0.00</v>
      </c>
      <c r="H109" s="689"/>
      <c r="J109" s="95">
        <v>63</v>
      </c>
      <c r="K109" s="96">
        <f t="shared" si="84"/>
        <v>0</v>
      </c>
      <c r="L109" s="96">
        <f t="shared" si="85"/>
        <v>0</v>
      </c>
      <c r="M109" s="96">
        <f t="shared" si="86"/>
        <v>0</v>
      </c>
      <c r="N109" s="688">
        <f t="shared" si="87"/>
        <v>0</v>
      </c>
      <c r="O109" s="689"/>
      <c r="Q109" s="95">
        <v>63</v>
      </c>
      <c r="R109" s="101" t="str">
        <f t="shared" si="88"/>
        <v>$0.00</v>
      </c>
      <c r="S109" s="101" t="str">
        <f t="shared" si="89"/>
        <v>$0.00</v>
      </c>
      <c r="T109" s="101" t="str">
        <f t="shared" si="90"/>
        <v>$0.00</v>
      </c>
      <c r="U109" s="688" t="str">
        <f t="shared" si="91"/>
        <v>$0.00</v>
      </c>
      <c r="V109" s="689"/>
      <c r="X109" s="95">
        <v>63</v>
      </c>
      <c r="Y109" s="101" t="str">
        <f t="shared" si="92"/>
        <v>$0.00</v>
      </c>
      <c r="Z109" s="101" t="str">
        <f t="shared" si="93"/>
        <v>$0.00</v>
      </c>
      <c r="AA109" s="101" t="str">
        <f t="shared" si="94"/>
        <v>$0.00</v>
      </c>
      <c r="AB109" s="688" t="str">
        <f t="shared" si="95"/>
        <v>$0.00</v>
      </c>
      <c r="AC109" s="689"/>
    </row>
    <row r="110" spans="1:29" x14ac:dyDescent="0.2">
      <c r="C110" s="95">
        <v>64</v>
      </c>
      <c r="D110" s="101">
        <f t="shared" si="80"/>
        <v>0</v>
      </c>
      <c r="E110" s="101">
        <f t="shared" si="81"/>
        <v>0</v>
      </c>
      <c r="F110" s="101">
        <f t="shared" si="82"/>
        <v>0</v>
      </c>
      <c r="G110" s="688">
        <f t="shared" si="83"/>
        <v>0</v>
      </c>
      <c r="H110" s="689"/>
      <c r="J110" s="95">
        <v>64</v>
      </c>
      <c r="K110" s="96">
        <f t="shared" si="84"/>
        <v>0</v>
      </c>
      <c r="L110" s="96">
        <f t="shared" si="85"/>
        <v>0</v>
      </c>
      <c r="M110" s="96">
        <f t="shared" si="86"/>
        <v>0</v>
      </c>
      <c r="N110" s="688">
        <f t="shared" si="87"/>
        <v>0</v>
      </c>
      <c r="O110" s="689"/>
      <c r="Q110" s="95">
        <v>64</v>
      </c>
      <c r="R110" s="101">
        <f t="shared" si="88"/>
        <v>0</v>
      </c>
      <c r="S110" s="101">
        <f t="shared" si="89"/>
        <v>0</v>
      </c>
      <c r="T110" s="101">
        <f t="shared" si="90"/>
        <v>0</v>
      </c>
      <c r="U110" s="688">
        <f t="shared" si="91"/>
        <v>0</v>
      </c>
      <c r="V110" s="689"/>
      <c r="X110" s="95">
        <v>64</v>
      </c>
      <c r="Y110" s="101">
        <f t="shared" si="92"/>
        <v>0</v>
      </c>
      <c r="Z110" s="101">
        <f t="shared" si="93"/>
        <v>0</v>
      </c>
      <c r="AA110" s="101">
        <f t="shared" si="94"/>
        <v>0</v>
      </c>
      <c r="AB110" s="688">
        <f t="shared" si="95"/>
        <v>0</v>
      </c>
      <c r="AC110" s="689"/>
    </row>
    <row r="111" spans="1:29" x14ac:dyDescent="0.2">
      <c r="C111" s="95">
        <v>65</v>
      </c>
      <c r="D111" s="101" t="str">
        <f t="shared" si="80"/>
        <v>$0.00</v>
      </c>
      <c r="E111" s="101" t="str">
        <f t="shared" si="81"/>
        <v>$0.00</v>
      </c>
      <c r="F111" s="101" t="str">
        <f t="shared" si="82"/>
        <v>$0.00</v>
      </c>
      <c r="G111" s="688" t="str">
        <f t="shared" si="83"/>
        <v>$0.00</v>
      </c>
      <c r="H111" s="689"/>
      <c r="J111" s="95">
        <v>65</v>
      </c>
      <c r="K111" s="96">
        <f t="shared" si="84"/>
        <v>0</v>
      </c>
      <c r="L111" s="96">
        <f t="shared" si="85"/>
        <v>0</v>
      </c>
      <c r="M111" s="96">
        <f t="shared" si="86"/>
        <v>0</v>
      </c>
      <c r="N111" s="688">
        <f t="shared" si="87"/>
        <v>0</v>
      </c>
      <c r="O111" s="689"/>
      <c r="Q111" s="95">
        <v>65</v>
      </c>
      <c r="R111" s="101" t="str">
        <f t="shared" si="88"/>
        <v>$0.00</v>
      </c>
      <c r="S111" s="101" t="str">
        <f t="shared" si="89"/>
        <v>$0.00</v>
      </c>
      <c r="T111" s="101" t="str">
        <f t="shared" si="90"/>
        <v>$0.00</v>
      </c>
      <c r="U111" s="688" t="str">
        <f t="shared" si="91"/>
        <v>$0.00</v>
      </c>
      <c r="V111" s="689"/>
      <c r="X111" s="95">
        <v>65</v>
      </c>
      <c r="Y111" s="101" t="str">
        <f t="shared" si="92"/>
        <v>$0.00</v>
      </c>
      <c r="Z111" s="101" t="str">
        <f t="shared" si="93"/>
        <v>$0.00</v>
      </c>
      <c r="AA111" s="101" t="str">
        <f t="shared" si="94"/>
        <v>$0.00</v>
      </c>
      <c r="AB111" s="688" t="str">
        <f t="shared" si="95"/>
        <v>$0.00</v>
      </c>
      <c r="AC111" s="689"/>
    </row>
    <row r="112" spans="1:29" x14ac:dyDescent="0.2">
      <c r="C112" s="95">
        <v>66</v>
      </c>
      <c r="D112" s="101">
        <f t="shared" si="80"/>
        <v>0</v>
      </c>
      <c r="E112" s="101">
        <f t="shared" si="81"/>
        <v>0</v>
      </c>
      <c r="F112" s="101">
        <f t="shared" si="82"/>
        <v>0</v>
      </c>
      <c r="G112" s="688">
        <f t="shared" si="83"/>
        <v>0</v>
      </c>
      <c r="H112" s="689"/>
      <c r="J112" s="95">
        <v>66</v>
      </c>
      <c r="K112" s="96">
        <f t="shared" si="84"/>
        <v>0</v>
      </c>
      <c r="L112" s="96">
        <f t="shared" si="85"/>
        <v>0</v>
      </c>
      <c r="M112" s="96">
        <f t="shared" si="86"/>
        <v>0</v>
      </c>
      <c r="N112" s="688">
        <f t="shared" si="87"/>
        <v>0</v>
      </c>
      <c r="O112" s="689"/>
      <c r="Q112" s="95">
        <v>66</v>
      </c>
      <c r="R112" s="101">
        <f t="shared" si="88"/>
        <v>0</v>
      </c>
      <c r="S112" s="101">
        <f t="shared" si="89"/>
        <v>0</v>
      </c>
      <c r="T112" s="101">
        <f t="shared" si="90"/>
        <v>0</v>
      </c>
      <c r="U112" s="688">
        <f t="shared" si="91"/>
        <v>0</v>
      </c>
      <c r="V112" s="689"/>
      <c r="X112" s="95">
        <v>66</v>
      </c>
      <c r="Y112" s="101">
        <f t="shared" si="92"/>
        <v>0</v>
      </c>
      <c r="Z112" s="101">
        <f t="shared" si="93"/>
        <v>0</v>
      </c>
      <c r="AA112" s="101">
        <f t="shared" si="94"/>
        <v>0</v>
      </c>
      <c r="AB112" s="688">
        <f t="shared" si="95"/>
        <v>0</v>
      </c>
      <c r="AC112" s="689"/>
    </row>
    <row r="113" spans="3:29" x14ac:dyDescent="0.2">
      <c r="C113" s="95">
        <v>67</v>
      </c>
      <c r="D113" s="101" t="str">
        <f t="shared" si="80"/>
        <v>$0.00</v>
      </c>
      <c r="E113" s="101" t="str">
        <f t="shared" si="81"/>
        <v>$0.00</v>
      </c>
      <c r="F113" s="101" t="str">
        <f t="shared" si="82"/>
        <v>$0.00</v>
      </c>
      <c r="G113" s="688" t="str">
        <f t="shared" si="83"/>
        <v>$0.00</v>
      </c>
      <c r="H113" s="689"/>
      <c r="J113" s="95">
        <v>67</v>
      </c>
      <c r="K113" s="96">
        <f t="shared" si="84"/>
        <v>0</v>
      </c>
      <c r="L113" s="96">
        <f t="shared" si="85"/>
        <v>0</v>
      </c>
      <c r="M113" s="96">
        <f t="shared" si="86"/>
        <v>0</v>
      </c>
      <c r="N113" s="688">
        <f t="shared" si="87"/>
        <v>0</v>
      </c>
      <c r="O113" s="689"/>
      <c r="Q113" s="95">
        <v>67</v>
      </c>
      <c r="R113" s="101" t="str">
        <f t="shared" si="88"/>
        <v>$0.00</v>
      </c>
      <c r="S113" s="101" t="str">
        <f t="shared" si="89"/>
        <v>$0.00</v>
      </c>
      <c r="T113" s="101" t="str">
        <f t="shared" si="90"/>
        <v>$0.00</v>
      </c>
      <c r="U113" s="688" t="str">
        <f t="shared" si="91"/>
        <v>$0.00</v>
      </c>
      <c r="V113" s="689"/>
      <c r="X113" s="95">
        <v>67</v>
      </c>
      <c r="Y113" s="101" t="str">
        <f t="shared" si="92"/>
        <v>$0.00</v>
      </c>
      <c r="Z113" s="101" t="str">
        <f t="shared" si="93"/>
        <v>$0.00</v>
      </c>
      <c r="AA113" s="101" t="str">
        <f t="shared" si="94"/>
        <v>$0.00</v>
      </c>
      <c r="AB113" s="688" t="str">
        <f t="shared" si="95"/>
        <v>$0.00</v>
      </c>
      <c r="AC113" s="689"/>
    </row>
    <row r="114" spans="3:29" x14ac:dyDescent="0.2">
      <c r="C114" s="95">
        <v>68</v>
      </c>
      <c r="D114" s="101">
        <f t="shared" si="80"/>
        <v>0</v>
      </c>
      <c r="E114" s="101">
        <f t="shared" si="81"/>
        <v>0</v>
      </c>
      <c r="F114" s="101">
        <f t="shared" si="82"/>
        <v>0</v>
      </c>
      <c r="G114" s="688">
        <f t="shared" si="83"/>
        <v>0</v>
      </c>
      <c r="H114" s="689"/>
      <c r="J114" s="95">
        <v>68</v>
      </c>
      <c r="K114" s="96">
        <f t="shared" si="84"/>
        <v>0</v>
      </c>
      <c r="L114" s="96">
        <f t="shared" si="85"/>
        <v>0</v>
      </c>
      <c r="M114" s="96">
        <f t="shared" si="86"/>
        <v>0</v>
      </c>
      <c r="N114" s="688">
        <f t="shared" si="87"/>
        <v>0</v>
      </c>
      <c r="O114" s="689"/>
      <c r="Q114" s="95">
        <v>68</v>
      </c>
      <c r="R114" s="101">
        <f t="shared" si="88"/>
        <v>0</v>
      </c>
      <c r="S114" s="101">
        <f t="shared" si="89"/>
        <v>0</v>
      </c>
      <c r="T114" s="101">
        <f t="shared" si="90"/>
        <v>0</v>
      </c>
      <c r="U114" s="688">
        <f t="shared" si="91"/>
        <v>0</v>
      </c>
      <c r="V114" s="689"/>
      <c r="X114" s="95">
        <v>68</v>
      </c>
      <c r="Y114" s="101">
        <f t="shared" si="92"/>
        <v>0</v>
      </c>
      <c r="Z114" s="101">
        <f t="shared" si="93"/>
        <v>0</v>
      </c>
      <c r="AA114" s="101">
        <f t="shared" si="94"/>
        <v>0</v>
      </c>
      <c r="AB114" s="688">
        <f t="shared" si="95"/>
        <v>0</v>
      </c>
      <c r="AC114" s="689"/>
    </row>
    <row r="115" spans="3:29" x14ac:dyDescent="0.2">
      <c r="C115" s="95">
        <v>69</v>
      </c>
      <c r="D115" s="101" t="str">
        <f t="shared" si="80"/>
        <v>$0.00</v>
      </c>
      <c r="E115" s="101" t="str">
        <f t="shared" si="81"/>
        <v>$0.00</v>
      </c>
      <c r="F115" s="101" t="str">
        <f t="shared" si="82"/>
        <v>$0.00</v>
      </c>
      <c r="G115" s="688" t="str">
        <f t="shared" si="83"/>
        <v>$0.00</v>
      </c>
      <c r="H115" s="689"/>
      <c r="J115" s="95">
        <v>69</v>
      </c>
      <c r="K115" s="96">
        <f t="shared" si="84"/>
        <v>0</v>
      </c>
      <c r="L115" s="96">
        <f t="shared" si="85"/>
        <v>0</v>
      </c>
      <c r="M115" s="96">
        <f t="shared" si="86"/>
        <v>0</v>
      </c>
      <c r="N115" s="688">
        <f t="shared" si="87"/>
        <v>0</v>
      </c>
      <c r="O115" s="689"/>
      <c r="Q115" s="95">
        <v>69</v>
      </c>
      <c r="R115" s="101" t="str">
        <f t="shared" si="88"/>
        <v>$0.00</v>
      </c>
      <c r="S115" s="101" t="str">
        <f t="shared" si="89"/>
        <v>$0.00</v>
      </c>
      <c r="T115" s="101" t="str">
        <f t="shared" si="90"/>
        <v>$0.00</v>
      </c>
      <c r="U115" s="688" t="str">
        <f t="shared" si="91"/>
        <v>$0.00</v>
      </c>
      <c r="V115" s="689"/>
      <c r="X115" s="95">
        <v>69</v>
      </c>
      <c r="Y115" s="101" t="str">
        <f t="shared" si="92"/>
        <v>$0.00</v>
      </c>
      <c r="Z115" s="101" t="str">
        <f t="shared" si="93"/>
        <v>$0.00</v>
      </c>
      <c r="AA115" s="101" t="str">
        <f t="shared" si="94"/>
        <v>$0.00</v>
      </c>
      <c r="AB115" s="688" t="str">
        <f t="shared" si="95"/>
        <v>$0.00</v>
      </c>
      <c r="AC115" s="689"/>
    </row>
    <row r="116" spans="3:29" x14ac:dyDescent="0.2">
      <c r="C116" s="95">
        <v>70</v>
      </c>
      <c r="D116" s="101">
        <f t="shared" si="80"/>
        <v>0</v>
      </c>
      <c r="E116" s="101">
        <f t="shared" si="81"/>
        <v>0</v>
      </c>
      <c r="F116" s="101">
        <f t="shared" si="82"/>
        <v>0</v>
      </c>
      <c r="G116" s="688">
        <f t="shared" si="83"/>
        <v>0</v>
      </c>
      <c r="H116" s="689"/>
      <c r="J116" s="95">
        <v>70</v>
      </c>
      <c r="K116" s="96">
        <f t="shared" si="84"/>
        <v>0</v>
      </c>
      <c r="L116" s="96">
        <f t="shared" si="85"/>
        <v>0</v>
      </c>
      <c r="M116" s="96">
        <f t="shared" si="86"/>
        <v>0</v>
      </c>
      <c r="N116" s="688">
        <f t="shared" si="87"/>
        <v>0</v>
      </c>
      <c r="O116" s="689"/>
      <c r="Q116" s="95">
        <v>70</v>
      </c>
      <c r="R116" s="101">
        <f t="shared" si="88"/>
        <v>0</v>
      </c>
      <c r="S116" s="101">
        <f t="shared" si="89"/>
        <v>0</v>
      </c>
      <c r="T116" s="101">
        <f t="shared" si="90"/>
        <v>0</v>
      </c>
      <c r="U116" s="688">
        <f t="shared" si="91"/>
        <v>0</v>
      </c>
      <c r="V116" s="689"/>
      <c r="X116" s="95">
        <v>70</v>
      </c>
      <c r="Y116" s="101">
        <f t="shared" si="92"/>
        <v>0</v>
      </c>
      <c r="Z116" s="101">
        <f t="shared" si="93"/>
        <v>0</v>
      </c>
      <c r="AA116" s="101">
        <f t="shared" si="94"/>
        <v>0</v>
      </c>
      <c r="AB116" s="688">
        <f t="shared" si="95"/>
        <v>0</v>
      </c>
      <c r="AC116" s="689"/>
    </row>
    <row r="117" spans="3:29" x14ac:dyDescent="0.2">
      <c r="C117" s="95">
        <v>71</v>
      </c>
      <c r="D117" s="101" t="str">
        <f t="shared" si="80"/>
        <v>$0.00</v>
      </c>
      <c r="E117" s="101" t="str">
        <f t="shared" si="81"/>
        <v>$0.00</v>
      </c>
      <c r="F117" s="101" t="str">
        <f t="shared" si="82"/>
        <v>$0.00</v>
      </c>
      <c r="G117" s="688" t="str">
        <f t="shared" si="83"/>
        <v>$0.00</v>
      </c>
      <c r="H117" s="689"/>
      <c r="J117" s="95">
        <v>71</v>
      </c>
      <c r="K117" s="96">
        <f t="shared" si="84"/>
        <v>0</v>
      </c>
      <c r="L117" s="96">
        <f t="shared" si="85"/>
        <v>0</v>
      </c>
      <c r="M117" s="96">
        <f t="shared" si="86"/>
        <v>0</v>
      </c>
      <c r="N117" s="688">
        <f t="shared" si="87"/>
        <v>0</v>
      </c>
      <c r="O117" s="689"/>
      <c r="Q117" s="95">
        <v>71</v>
      </c>
      <c r="R117" s="101" t="str">
        <f t="shared" si="88"/>
        <v>$0.00</v>
      </c>
      <c r="S117" s="101" t="str">
        <f t="shared" si="89"/>
        <v>$0.00</v>
      </c>
      <c r="T117" s="101" t="str">
        <f t="shared" si="90"/>
        <v>$0.00</v>
      </c>
      <c r="U117" s="688" t="str">
        <f t="shared" si="91"/>
        <v>$0.00</v>
      </c>
      <c r="V117" s="689"/>
      <c r="X117" s="95">
        <v>71</v>
      </c>
      <c r="Y117" s="101" t="str">
        <f t="shared" si="92"/>
        <v>$0.00</v>
      </c>
      <c r="Z117" s="101" t="str">
        <f t="shared" si="93"/>
        <v>$0.00</v>
      </c>
      <c r="AA117" s="101" t="str">
        <f t="shared" si="94"/>
        <v>$0.00</v>
      </c>
      <c r="AB117" s="688" t="str">
        <f t="shared" si="95"/>
        <v>$0.00</v>
      </c>
      <c r="AC117" s="689"/>
    </row>
    <row r="118" spans="3:29" x14ac:dyDescent="0.2">
      <c r="C118" s="95">
        <v>72</v>
      </c>
      <c r="D118" s="101">
        <f t="shared" si="80"/>
        <v>0</v>
      </c>
      <c r="E118" s="101">
        <f t="shared" si="81"/>
        <v>0</v>
      </c>
      <c r="F118" s="101">
        <f t="shared" si="82"/>
        <v>0</v>
      </c>
      <c r="G118" s="690">
        <f t="shared" si="83"/>
        <v>0</v>
      </c>
      <c r="H118" s="691"/>
      <c r="J118" s="95">
        <v>72</v>
      </c>
      <c r="K118" s="96">
        <f t="shared" si="84"/>
        <v>0</v>
      </c>
      <c r="L118" s="96">
        <f t="shared" si="85"/>
        <v>0</v>
      </c>
      <c r="M118" s="96">
        <f t="shared" si="86"/>
        <v>0</v>
      </c>
      <c r="N118" s="690">
        <f t="shared" si="87"/>
        <v>0</v>
      </c>
      <c r="O118" s="691"/>
      <c r="Q118" s="95">
        <v>72</v>
      </c>
      <c r="R118" s="101">
        <f t="shared" si="88"/>
        <v>0</v>
      </c>
      <c r="S118" s="101">
        <f t="shared" si="89"/>
        <v>0</v>
      </c>
      <c r="T118" s="101">
        <f t="shared" si="90"/>
        <v>0</v>
      </c>
      <c r="U118" s="690">
        <f t="shared" si="91"/>
        <v>0</v>
      </c>
      <c r="V118" s="691"/>
      <c r="X118" s="95">
        <v>72</v>
      </c>
      <c r="Y118" s="101">
        <f t="shared" si="92"/>
        <v>0</v>
      </c>
      <c r="Z118" s="101">
        <f t="shared" si="93"/>
        <v>0</v>
      </c>
      <c r="AA118" s="101">
        <f t="shared" si="94"/>
        <v>0</v>
      </c>
      <c r="AB118" s="690">
        <f t="shared" si="95"/>
        <v>0</v>
      </c>
      <c r="AC118" s="691"/>
    </row>
    <row r="119" spans="3:29" x14ac:dyDescent="0.2">
      <c r="C119" s="97" t="s">
        <v>776</v>
      </c>
      <c r="D119" s="104">
        <f>SUM(D107:D118)</f>
        <v>0</v>
      </c>
      <c r="E119" s="104">
        <f>SUM(E107:E118)</f>
        <v>0</v>
      </c>
      <c r="F119" s="104">
        <f>SUM(F107:F118)</f>
        <v>0</v>
      </c>
      <c r="G119" s="692">
        <f>G118</f>
        <v>0</v>
      </c>
      <c r="H119" s="693"/>
      <c r="J119" s="97" t="s">
        <v>776</v>
      </c>
      <c r="K119" s="86">
        <f>SUM(K107:K118)</f>
        <v>0</v>
      </c>
      <c r="L119" s="86">
        <f>SUM(L107:L118)</f>
        <v>0</v>
      </c>
      <c r="M119" s="86">
        <f>SUM(M107:M118)</f>
        <v>0</v>
      </c>
      <c r="N119" s="692">
        <f>N118</f>
        <v>0</v>
      </c>
      <c r="O119" s="711"/>
      <c r="Q119" s="97" t="s">
        <v>776</v>
      </c>
      <c r="R119" s="104">
        <f>SUM(R107:R118)</f>
        <v>0</v>
      </c>
      <c r="S119" s="104">
        <f>SUM(S107:S118)</f>
        <v>0</v>
      </c>
      <c r="T119" s="104">
        <f>SUM(T107:T118)</f>
        <v>0</v>
      </c>
      <c r="U119" s="692">
        <f>U118</f>
        <v>0</v>
      </c>
      <c r="V119" s="693"/>
      <c r="X119" s="97" t="s">
        <v>776</v>
      </c>
      <c r="Y119" s="104">
        <f>SUM(Y107:Y118)</f>
        <v>0</v>
      </c>
      <c r="Z119" s="104">
        <f>SUM(Z107:Z118)</f>
        <v>0</v>
      </c>
      <c r="AA119" s="104">
        <f>SUM(AA107:AA118)</f>
        <v>0</v>
      </c>
      <c r="AB119" s="692">
        <f>AB118</f>
        <v>0</v>
      </c>
      <c r="AC119" s="693"/>
    </row>
    <row r="120" spans="3:29" x14ac:dyDescent="0.2">
      <c r="C120" s="95">
        <v>73</v>
      </c>
      <c r="D120" s="101" t="str">
        <f t="shared" ref="D120:D131" si="96">IF(G119&gt;0,G119*($E$36)/12,"$0.00")</f>
        <v>$0.00</v>
      </c>
      <c r="E120" s="101" t="str">
        <f t="shared" ref="E120:E131" si="97">IF(G119&gt;0,IF($E$38=4,"$0.00",IF($E$38=3,"$0.00",IF($E$38=2,"$0.00",+$G$39-D120))),"$0.00")</f>
        <v>$0.00</v>
      </c>
      <c r="F120" s="101" t="str">
        <f t="shared" ref="F120:F131" si="98">IF(G119=0,"$0.00",IF($E$38=4,"$0.00",IF($E$38=3,"$0.00",IF($E$38=2,D120,D120+E120))))</f>
        <v>$0.00</v>
      </c>
      <c r="G120" s="688" t="str">
        <f t="shared" ref="G120:G131" si="99">IF(G119=0,"$0.00",IF($E$38=4,G119+D120,IF($E$38=3,G119+D120,IF($E$38=2,G119,G119-E120))))</f>
        <v>$0.00</v>
      </c>
      <c r="H120" s="689"/>
      <c r="J120" s="95">
        <v>73</v>
      </c>
      <c r="K120" s="96">
        <f t="shared" ref="K120:K131" si="100">N119*($L$36)/12</f>
        <v>0</v>
      </c>
      <c r="L120" s="96">
        <f t="shared" ref="L120:L131" si="101">IF(L116=4,"$0.00",+$N$39-K120)</f>
        <v>0</v>
      </c>
      <c r="M120" s="96">
        <f t="shared" ref="M120:M131" si="102">IF(L116=4,"$0.00",K120+L120)</f>
        <v>0</v>
      </c>
      <c r="N120" s="709">
        <f t="shared" ref="N120:N131" si="103">IF(L116=4,N119+K120,N119-L120)</f>
        <v>0</v>
      </c>
      <c r="O120" s="710"/>
      <c r="Q120" s="95">
        <v>73</v>
      </c>
      <c r="R120" s="101" t="str">
        <f t="shared" ref="R120:R131" si="104">IF(U119&gt;0,U119*($S$36)/12,"$0.00")</f>
        <v>$0.00</v>
      </c>
      <c r="S120" s="101" t="str">
        <f t="shared" ref="S120:S131" si="105">IF(U119&gt;0,IF($S$38=4,"$0.00",IF($S$38=3,"$0.00",IF($S$38=2,"$0.00",+$U$39-R120))),"$0.00")</f>
        <v>$0.00</v>
      </c>
      <c r="T120" s="101" t="str">
        <f t="shared" ref="T120:T131" si="106">IF(U119=0,"$0.00",IF($S$38=4,"$0.00",IF($S$38=3,"$0.00",IF($S$38=2,R120,R120+S120))))</f>
        <v>$0.00</v>
      </c>
      <c r="U120" s="688" t="str">
        <f t="shared" ref="U120:U131" si="107">IF(U119=0,"$0.00",IF($S$38=4,U119+R120,IF($S$38=3,U119+R120,IF($S$38=2,U119,U119-S120))))</f>
        <v>$0.00</v>
      </c>
      <c r="V120" s="689"/>
      <c r="X120" s="95">
        <v>73</v>
      </c>
      <c r="Y120" s="101" t="str">
        <f t="shared" ref="Y120:Y131" si="108">IF(AB119&gt;0,AB119*($Z$36)/12,"$0.00")</f>
        <v>$0.00</v>
      </c>
      <c r="Z120" s="101" t="str">
        <f t="shared" ref="Z120:Z131" si="109">IF(AB119&gt;0,IF($Z$38=4,"$0.00",IF($Z$38=3,"$0.00",IF($Z$38=2,"$0.00",+$AB$39-Y120))),"$0.00")</f>
        <v>$0.00</v>
      </c>
      <c r="AA120" s="101" t="str">
        <f t="shared" ref="AA120:AA131" si="110">IF(AB119=0,"$0.00",IF($Z$38=4,"$0.00",IF($Z$38=3,"$0.00",IF($Z$38=2,Y120,Y120+Z120))))</f>
        <v>$0.00</v>
      </c>
      <c r="AB120" s="688" t="str">
        <f t="shared" ref="AB120:AB131" si="111">IF(AB119=0,"$0.00",IF($Z$38=4,AB119+Y120,IF($Z$38=3,AB119+Y120,IF($Z$38=2,AB119,AB119-Z120))))</f>
        <v>$0.00</v>
      </c>
      <c r="AC120" s="689"/>
    </row>
    <row r="121" spans="3:29" x14ac:dyDescent="0.2">
      <c r="C121" s="95">
        <v>74</v>
      </c>
      <c r="D121" s="101">
        <f t="shared" si="96"/>
        <v>0</v>
      </c>
      <c r="E121" s="101">
        <f t="shared" si="97"/>
        <v>0</v>
      </c>
      <c r="F121" s="101">
        <f t="shared" si="98"/>
        <v>0</v>
      </c>
      <c r="G121" s="688">
        <f t="shared" si="99"/>
        <v>0</v>
      </c>
      <c r="H121" s="689"/>
      <c r="J121" s="95">
        <v>74</v>
      </c>
      <c r="K121" s="96">
        <f t="shared" si="100"/>
        <v>0</v>
      </c>
      <c r="L121" s="96">
        <f t="shared" si="101"/>
        <v>0</v>
      </c>
      <c r="M121" s="96">
        <f t="shared" si="102"/>
        <v>0</v>
      </c>
      <c r="N121" s="688">
        <f t="shared" si="103"/>
        <v>0</v>
      </c>
      <c r="O121" s="689"/>
      <c r="Q121" s="95">
        <v>74</v>
      </c>
      <c r="R121" s="101">
        <f t="shared" si="104"/>
        <v>0</v>
      </c>
      <c r="S121" s="101">
        <f t="shared" si="105"/>
        <v>0</v>
      </c>
      <c r="T121" s="101">
        <f t="shared" si="106"/>
        <v>0</v>
      </c>
      <c r="U121" s="688">
        <f t="shared" si="107"/>
        <v>0</v>
      </c>
      <c r="V121" s="689"/>
      <c r="X121" s="95">
        <v>74</v>
      </c>
      <c r="Y121" s="101">
        <f t="shared" si="108"/>
        <v>0</v>
      </c>
      <c r="Z121" s="101">
        <f t="shared" si="109"/>
        <v>0</v>
      </c>
      <c r="AA121" s="101">
        <f t="shared" si="110"/>
        <v>0</v>
      </c>
      <c r="AB121" s="688">
        <f t="shared" si="111"/>
        <v>0</v>
      </c>
      <c r="AC121" s="689"/>
    </row>
    <row r="122" spans="3:29" x14ac:dyDescent="0.2">
      <c r="C122" s="95">
        <v>75</v>
      </c>
      <c r="D122" s="101" t="str">
        <f t="shared" si="96"/>
        <v>$0.00</v>
      </c>
      <c r="E122" s="101" t="str">
        <f t="shared" si="97"/>
        <v>$0.00</v>
      </c>
      <c r="F122" s="101" t="str">
        <f t="shared" si="98"/>
        <v>$0.00</v>
      </c>
      <c r="G122" s="688" t="str">
        <f t="shared" si="99"/>
        <v>$0.00</v>
      </c>
      <c r="H122" s="689"/>
      <c r="J122" s="95">
        <v>75</v>
      </c>
      <c r="K122" s="96">
        <f t="shared" si="100"/>
        <v>0</v>
      </c>
      <c r="L122" s="96">
        <f t="shared" si="101"/>
        <v>0</v>
      </c>
      <c r="M122" s="96">
        <f t="shared" si="102"/>
        <v>0</v>
      </c>
      <c r="N122" s="688">
        <f t="shared" si="103"/>
        <v>0</v>
      </c>
      <c r="O122" s="689"/>
      <c r="Q122" s="95">
        <v>75</v>
      </c>
      <c r="R122" s="101" t="str">
        <f t="shared" si="104"/>
        <v>$0.00</v>
      </c>
      <c r="S122" s="101" t="str">
        <f t="shared" si="105"/>
        <v>$0.00</v>
      </c>
      <c r="T122" s="101" t="str">
        <f t="shared" si="106"/>
        <v>$0.00</v>
      </c>
      <c r="U122" s="688" t="str">
        <f t="shared" si="107"/>
        <v>$0.00</v>
      </c>
      <c r="V122" s="689"/>
      <c r="X122" s="95">
        <v>75</v>
      </c>
      <c r="Y122" s="101" t="str">
        <f t="shared" si="108"/>
        <v>$0.00</v>
      </c>
      <c r="Z122" s="101" t="str">
        <f t="shared" si="109"/>
        <v>$0.00</v>
      </c>
      <c r="AA122" s="101" t="str">
        <f t="shared" si="110"/>
        <v>$0.00</v>
      </c>
      <c r="AB122" s="688" t="str">
        <f t="shared" si="111"/>
        <v>$0.00</v>
      </c>
      <c r="AC122" s="689"/>
    </row>
    <row r="123" spans="3:29" x14ac:dyDescent="0.2">
      <c r="C123" s="95">
        <v>76</v>
      </c>
      <c r="D123" s="101">
        <f t="shared" si="96"/>
        <v>0</v>
      </c>
      <c r="E123" s="101">
        <f t="shared" si="97"/>
        <v>0</v>
      </c>
      <c r="F123" s="101">
        <f t="shared" si="98"/>
        <v>0</v>
      </c>
      <c r="G123" s="688">
        <f t="shared" si="99"/>
        <v>0</v>
      </c>
      <c r="H123" s="689"/>
      <c r="J123" s="95">
        <v>76</v>
      </c>
      <c r="K123" s="96">
        <f t="shared" si="100"/>
        <v>0</v>
      </c>
      <c r="L123" s="96">
        <f t="shared" si="101"/>
        <v>0</v>
      </c>
      <c r="M123" s="96">
        <f t="shared" si="102"/>
        <v>0</v>
      </c>
      <c r="N123" s="688">
        <f t="shared" si="103"/>
        <v>0</v>
      </c>
      <c r="O123" s="689"/>
      <c r="Q123" s="95">
        <v>76</v>
      </c>
      <c r="R123" s="101">
        <f t="shared" si="104"/>
        <v>0</v>
      </c>
      <c r="S123" s="101">
        <f t="shared" si="105"/>
        <v>0</v>
      </c>
      <c r="T123" s="101">
        <f t="shared" si="106"/>
        <v>0</v>
      </c>
      <c r="U123" s="688">
        <f t="shared" si="107"/>
        <v>0</v>
      </c>
      <c r="V123" s="689"/>
      <c r="X123" s="95">
        <v>76</v>
      </c>
      <c r="Y123" s="101">
        <f t="shared" si="108"/>
        <v>0</v>
      </c>
      <c r="Z123" s="101">
        <f t="shared" si="109"/>
        <v>0</v>
      </c>
      <c r="AA123" s="101">
        <f t="shared" si="110"/>
        <v>0</v>
      </c>
      <c r="AB123" s="688">
        <f t="shared" si="111"/>
        <v>0</v>
      </c>
      <c r="AC123" s="689"/>
    </row>
    <row r="124" spans="3:29" x14ac:dyDescent="0.2">
      <c r="C124" s="95">
        <v>77</v>
      </c>
      <c r="D124" s="101" t="str">
        <f t="shared" si="96"/>
        <v>$0.00</v>
      </c>
      <c r="E124" s="101" t="str">
        <f t="shared" si="97"/>
        <v>$0.00</v>
      </c>
      <c r="F124" s="101" t="str">
        <f t="shared" si="98"/>
        <v>$0.00</v>
      </c>
      <c r="G124" s="688" t="str">
        <f t="shared" si="99"/>
        <v>$0.00</v>
      </c>
      <c r="H124" s="689"/>
      <c r="J124" s="95">
        <v>77</v>
      </c>
      <c r="K124" s="96">
        <f t="shared" si="100"/>
        <v>0</v>
      </c>
      <c r="L124" s="96">
        <f t="shared" si="101"/>
        <v>0</v>
      </c>
      <c r="M124" s="96">
        <f t="shared" si="102"/>
        <v>0</v>
      </c>
      <c r="N124" s="688">
        <f t="shared" si="103"/>
        <v>0</v>
      </c>
      <c r="O124" s="689"/>
      <c r="Q124" s="95">
        <v>77</v>
      </c>
      <c r="R124" s="101" t="str">
        <f t="shared" si="104"/>
        <v>$0.00</v>
      </c>
      <c r="S124" s="101" t="str">
        <f t="shared" si="105"/>
        <v>$0.00</v>
      </c>
      <c r="T124" s="101" t="str">
        <f t="shared" si="106"/>
        <v>$0.00</v>
      </c>
      <c r="U124" s="688" t="str">
        <f t="shared" si="107"/>
        <v>$0.00</v>
      </c>
      <c r="V124" s="689"/>
      <c r="X124" s="95">
        <v>77</v>
      </c>
      <c r="Y124" s="101" t="str">
        <f t="shared" si="108"/>
        <v>$0.00</v>
      </c>
      <c r="Z124" s="101" t="str">
        <f t="shared" si="109"/>
        <v>$0.00</v>
      </c>
      <c r="AA124" s="101" t="str">
        <f t="shared" si="110"/>
        <v>$0.00</v>
      </c>
      <c r="AB124" s="688" t="str">
        <f t="shared" si="111"/>
        <v>$0.00</v>
      </c>
      <c r="AC124" s="689"/>
    </row>
    <row r="125" spans="3:29" x14ac:dyDescent="0.2">
      <c r="C125" s="95">
        <v>78</v>
      </c>
      <c r="D125" s="101">
        <f t="shared" si="96"/>
        <v>0</v>
      </c>
      <c r="E125" s="101">
        <f t="shared" si="97"/>
        <v>0</v>
      </c>
      <c r="F125" s="101">
        <f t="shared" si="98"/>
        <v>0</v>
      </c>
      <c r="G125" s="688">
        <f t="shared" si="99"/>
        <v>0</v>
      </c>
      <c r="H125" s="689"/>
      <c r="J125" s="95">
        <v>78</v>
      </c>
      <c r="K125" s="96">
        <f t="shared" si="100"/>
        <v>0</v>
      </c>
      <c r="L125" s="96">
        <f t="shared" si="101"/>
        <v>0</v>
      </c>
      <c r="M125" s="96">
        <f t="shared" si="102"/>
        <v>0</v>
      </c>
      <c r="N125" s="688">
        <f t="shared" si="103"/>
        <v>0</v>
      </c>
      <c r="O125" s="689"/>
      <c r="Q125" s="95">
        <v>78</v>
      </c>
      <c r="R125" s="101">
        <f t="shared" si="104"/>
        <v>0</v>
      </c>
      <c r="S125" s="101">
        <f t="shared" si="105"/>
        <v>0</v>
      </c>
      <c r="T125" s="101">
        <f t="shared" si="106"/>
        <v>0</v>
      </c>
      <c r="U125" s="688">
        <f t="shared" si="107"/>
        <v>0</v>
      </c>
      <c r="V125" s="689"/>
      <c r="X125" s="95">
        <v>78</v>
      </c>
      <c r="Y125" s="101">
        <f t="shared" si="108"/>
        <v>0</v>
      </c>
      <c r="Z125" s="101">
        <f t="shared" si="109"/>
        <v>0</v>
      </c>
      <c r="AA125" s="101">
        <f t="shared" si="110"/>
        <v>0</v>
      </c>
      <c r="AB125" s="688">
        <f t="shared" si="111"/>
        <v>0</v>
      </c>
      <c r="AC125" s="689"/>
    </row>
    <row r="126" spans="3:29" x14ac:dyDescent="0.2">
      <c r="C126" s="95">
        <v>79</v>
      </c>
      <c r="D126" s="101" t="str">
        <f t="shared" si="96"/>
        <v>$0.00</v>
      </c>
      <c r="E126" s="101" t="str">
        <f t="shared" si="97"/>
        <v>$0.00</v>
      </c>
      <c r="F126" s="101" t="str">
        <f t="shared" si="98"/>
        <v>$0.00</v>
      </c>
      <c r="G126" s="688" t="str">
        <f t="shared" si="99"/>
        <v>$0.00</v>
      </c>
      <c r="H126" s="689"/>
      <c r="J126" s="95">
        <v>79</v>
      </c>
      <c r="K126" s="96">
        <f t="shared" si="100"/>
        <v>0</v>
      </c>
      <c r="L126" s="96">
        <f t="shared" si="101"/>
        <v>0</v>
      </c>
      <c r="M126" s="96">
        <f t="shared" si="102"/>
        <v>0</v>
      </c>
      <c r="N126" s="688">
        <f t="shared" si="103"/>
        <v>0</v>
      </c>
      <c r="O126" s="689"/>
      <c r="Q126" s="95">
        <v>79</v>
      </c>
      <c r="R126" s="101" t="str">
        <f t="shared" si="104"/>
        <v>$0.00</v>
      </c>
      <c r="S126" s="101" t="str">
        <f t="shared" si="105"/>
        <v>$0.00</v>
      </c>
      <c r="T126" s="101" t="str">
        <f t="shared" si="106"/>
        <v>$0.00</v>
      </c>
      <c r="U126" s="688" t="str">
        <f t="shared" si="107"/>
        <v>$0.00</v>
      </c>
      <c r="V126" s="689"/>
      <c r="X126" s="95">
        <v>79</v>
      </c>
      <c r="Y126" s="101" t="str">
        <f t="shared" si="108"/>
        <v>$0.00</v>
      </c>
      <c r="Z126" s="101" t="str">
        <f t="shared" si="109"/>
        <v>$0.00</v>
      </c>
      <c r="AA126" s="101" t="str">
        <f t="shared" si="110"/>
        <v>$0.00</v>
      </c>
      <c r="AB126" s="688" t="str">
        <f t="shared" si="111"/>
        <v>$0.00</v>
      </c>
      <c r="AC126" s="689"/>
    </row>
    <row r="127" spans="3:29" x14ac:dyDescent="0.2">
      <c r="C127" s="95">
        <v>80</v>
      </c>
      <c r="D127" s="101">
        <f t="shared" si="96"/>
        <v>0</v>
      </c>
      <c r="E127" s="101">
        <f t="shared" si="97"/>
        <v>0</v>
      </c>
      <c r="F127" s="101">
        <f t="shared" si="98"/>
        <v>0</v>
      </c>
      <c r="G127" s="688">
        <f t="shared" si="99"/>
        <v>0</v>
      </c>
      <c r="H127" s="689"/>
      <c r="J127" s="95">
        <v>80</v>
      </c>
      <c r="K127" s="96">
        <f t="shared" si="100"/>
        <v>0</v>
      </c>
      <c r="L127" s="96">
        <f t="shared" si="101"/>
        <v>0</v>
      </c>
      <c r="M127" s="96">
        <f t="shared" si="102"/>
        <v>0</v>
      </c>
      <c r="N127" s="688">
        <f t="shared" si="103"/>
        <v>0</v>
      </c>
      <c r="O127" s="689"/>
      <c r="Q127" s="95">
        <v>80</v>
      </c>
      <c r="R127" s="101">
        <f t="shared" si="104"/>
        <v>0</v>
      </c>
      <c r="S127" s="101">
        <f t="shared" si="105"/>
        <v>0</v>
      </c>
      <c r="T127" s="101">
        <f t="shared" si="106"/>
        <v>0</v>
      </c>
      <c r="U127" s="688">
        <f t="shared" si="107"/>
        <v>0</v>
      </c>
      <c r="V127" s="689"/>
      <c r="X127" s="95">
        <v>80</v>
      </c>
      <c r="Y127" s="101">
        <f t="shared" si="108"/>
        <v>0</v>
      </c>
      <c r="Z127" s="101">
        <f t="shared" si="109"/>
        <v>0</v>
      </c>
      <c r="AA127" s="101">
        <f t="shared" si="110"/>
        <v>0</v>
      </c>
      <c r="AB127" s="688">
        <f t="shared" si="111"/>
        <v>0</v>
      </c>
      <c r="AC127" s="689"/>
    </row>
    <row r="128" spans="3:29" x14ac:dyDescent="0.2">
      <c r="C128" s="95">
        <v>81</v>
      </c>
      <c r="D128" s="101" t="str">
        <f t="shared" si="96"/>
        <v>$0.00</v>
      </c>
      <c r="E128" s="101" t="str">
        <f t="shared" si="97"/>
        <v>$0.00</v>
      </c>
      <c r="F128" s="101" t="str">
        <f t="shared" si="98"/>
        <v>$0.00</v>
      </c>
      <c r="G128" s="688" t="str">
        <f t="shared" si="99"/>
        <v>$0.00</v>
      </c>
      <c r="H128" s="689"/>
      <c r="J128" s="95">
        <v>81</v>
      </c>
      <c r="K128" s="96">
        <f t="shared" si="100"/>
        <v>0</v>
      </c>
      <c r="L128" s="96">
        <f t="shared" si="101"/>
        <v>0</v>
      </c>
      <c r="M128" s="96">
        <f t="shared" si="102"/>
        <v>0</v>
      </c>
      <c r="N128" s="688">
        <f t="shared" si="103"/>
        <v>0</v>
      </c>
      <c r="O128" s="689"/>
      <c r="Q128" s="95">
        <v>81</v>
      </c>
      <c r="R128" s="101" t="str">
        <f t="shared" si="104"/>
        <v>$0.00</v>
      </c>
      <c r="S128" s="101" t="str">
        <f t="shared" si="105"/>
        <v>$0.00</v>
      </c>
      <c r="T128" s="101" t="str">
        <f t="shared" si="106"/>
        <v>$0.00</v>
      </c>
      <c r="U128" s="688" t="str">
        <f t="shared" si="107"/>
        <v>$0.00</v>
      </c>
      <c r="V128" s="689"/>
      <c r="X128" s="95">
        <v>81</v>
      </c>
      <c r="Y128" s="101" t="str">
        <f t="shared" si="108"/>
        <v>$0.00</v>
      </c>
      <c r="Z128" s="101" t="str">
        <f t="shared" si="109"/>
        <v>$0.00</v>
      </c>
      <c r="AA128" s="101" t="str">
        <f t="shared" si="110"/>
        <v>$0.00</v>
      </c>
      <c r="AB128" s="688" t="str">
        <f t="shared" si="111"/>
        <v>$0.00</v>
      </c>
      <c r="AC128" s="689"/>
    </row>
    <row r="129" spans="3:29" x14ac:dyDescent="0.2">
      <c r="C129" s="95">
        <v>82</v>
      </c>
      <c r="D129" s="101">
        <f t="shared" si="96"/>
        <v>0</v>
      </c>
      <c r="E129" s="101">
        <f t="shared" si="97"/>
        <v>0</v>
      </c>
      <c r="F129" s="101">
        <f t="shared" si="98"/>
        <v>0</v>
      </c>
      <c r="G129" s="688">
        <f t="shared" si="99"/>
        <v>0</v>
      </c>
      <c r="H129" s="689"/>
      <c r="J129" s="95">
        <v>82</v>
      </c>
      <c r="K129" s="96">
        <f t="shared" si="100"/>
        <v>0</v>
      </c>
      <c r="L129" s="96">
        <f t="shared" si="101"/>
        <v>0</v>
      </c>
      <c r="M129" s="96">
        <f t="shared" si="102"/>
        <v>0</v>
      </c>
      <c r="N129" s="688">
        <f t="shared" si="103"/>
        <v>0</v>
      </c>
      <c r="O129" s="689"/>
      <c r="Q129" s="95">
        <v>82</v>
      </c>
      <c r="R129" s="101">
        <f t="shared" si="104"/>
        <v>0</v>
      </c>
      <c r="S129" s="101">
        <f t="shared" si="105"/>
        <v>0</v>
      </c>
      <c r="T129" s="101">
        <f t="shared" si="106"/>
        <v>0</v>
      </c>
      <c r="U129" s="688">
        <f t="shared" si="107"/>
        <v>0</v>
      </c>
      <c r="V129" s="689"/>
      <c r="X129" s="95">
        <v>82</v>
      </c>
      <c r="Y129" s="101">
        <f t="shared" si="108"/>
        <v>0</v>
      </c>
      <c r="Z129" s="101">
        <f t="shared" si="109"/>
        <v>0</v>
      </c>
      <c r="AA129" s="101">
        <f t="shared" si="110"/>
        <v>0</v>
      </c>
      <c r="AB129" s="688">
        <f t="shared" si="111"/>
        <v>0</v>
      </c>
      <c r="AC129" s="689"/>
    </row>
    <row r="130" spans="3:29" x14ac:dyDescent="0.2">
      <c r="C130" s="95">
        <v>83</v>
      </c>
      <c r="D130" s="101" t="str">
        <f t="shared" si="96"/>
        <v>$0.00</v>
      </c>
      <c r="E130" s="101" t="str">
        <f t="shared" si="97"/>
        <v>$0.00</v>
      </c>
      <c r="F130" s="101" t="str">
        <f t="shared" si="98"/>
        <v>$0.00</v>
      </c>
      <c r="G130" s="688" t="str">
        <f t="shared" si="99"/>
        <v>$0.00</v>
      </c>
      <c r="H130" s="689"/>
      <c r="J130" s="95">
        <v>83</v>
      </c>
      <c r="K130" s="96">
        <f t="shared" si="100"/>
        <v>0</v>
      </c>
      <c r="L130" s="96">
        <f t="shared" si="101"/>
        <v>0</v>
      </c>
      <c r="M130" s="96">
        <f t="shared" si="102"/>
        <v>0</v>
      </c>
      <c r="N130" s="688">
        <f t="shared" si="103"/>
        <v>0</v>
      </c>
      <c r="O130" s="689"/>
      <c r="Q130" s="95">
        <v>83</v>
      </c>
      <c r="R130" s="101" t="str">
        <f t="shared" si="104"/>
        <v>$0.00</v>
      </c>
      <c r="S130" s="101" t="str">
        <f t="shared" si="105"/>
        <v>$0.00</v>
      </c>
      <c r="T130" s="101" t="str">
        <f t="shared" si="106"/>
        <v>$0.00</v>
      </c>
      <c r="U130" s="688" t="str">
        <f t="shared" si="107"/>
        <v>$0.00</v>
      </c>
      <c r="V130" s="689"/>
      <c r="X130" s="95">
        <v>83</v>
      </c>
      <c r="Y130" s="101" t="str">
        <f t="shared" si="108"/>
        <v>$0.00</v>
      </c>
      <c r="Z130" s="101" t="str">
        <f t="shared" si="109"/>
        <v>$0.00</v>
      </c>
      <c r="AA130" s="101" t="str">
        <f t="shared" si="110"/>
        <v>$0.00</v>
      </c>
      <c r="AB130" s="688" t="str">
        <f t="shared" si="111"/>
        <v>$0.00</v>
      </c>
      <c r="AC130" s="689"/>
    </row>
    <row r="131" spans="3:29" x14ac:dyDescent="0.2">
      <c r="C131" s="95">
        <v>84</v>
      </c>
      <c r="D131" s="101">
        <f t="shared" si="96"/>
        <v>0</v>
      </c>
      <c r="E131" s="101">
        <f t="shared" si="97"/>
        <v>0</v>
      </c>
      <c r="F131" s="101">
        <f t="shared" si="98"/>
        <v>0</v>
      </c>
      <c r="G131" s="690">
        <f t="shared" si="99"/>
        <v>0</v>
      </c>
      <c r="H131" s="691"/>
      <c r="J131" s="95">
        <v>84</v>
      </c>
      <c r="K131" s="96">
        <f t="shared" si="100"/>
        <v>0</v>
      </c>
      <c r="L131" s="96">
        <f t="shared" si="101"/>
        <v>0</v>
      </c>
      <c r="M131" s="96">
        <f t="shared" si="102"/>
        <v>0</v>
      </c>
      <c r="N131" s="690">
        <f t="shared" si="103"/>
        <v>0</v>
      </c>
      <c r="O131" s="691"/>
      <c r="Q131" s="95">
        <v>84</v>
      </c>
      <c r="R131" s="101">
        <f t="shared" si="104"/>
        <v>0</v>
      </c>
      <c r="S131" s="101">
        <f t="shared" si="105"/>
        <v>0</v>
      </c>
      <c r="T131" s="101">
        <f t="shared" si="106"/>
        <v>0</v>
      </c>
      <c r="U131" s="690">
        <f t="shared" si="107"/>
        <v>0</v>
      </c>
      <c r="V131" s="691"/>
      <c r="X131" s="95">
        <v>84</v>
      </c>
      <c r="Y131" s="101">
        <f t="shared" si="108"/>
        <v>0</v>
      </c>
      <c r="Z131" s="101">
        <f t="shared" si="109"/>
        <v>0</v>
      </c>
      <c r="AA131" s="101">
        <f t="shared" si="110"/>
        <v>0</v>
      </c>
      <c r="AB131" s="690">
        <f t="shared" si="111"/>
        <v>0</v>
      </c>
      <c r="AC131" s="691"/>
    </row>
    <row r="132" spans="3:29" x14ac:dyDescent="0.2">
      <c r="C132" s="97" t="s">
        <v>777</v>
      </c>
      <c r="D132" s="104">
        <f>SUM(D120:D131)</f>
        <v>0</v>
      </c>
      <c r="E132" s="104">
        <f>SUM(E120:E131)</f>
        <v>0</v>
      </c>
      <c r="F132" s="104">
        <f>SUM(F120:F131)</f>
        <v>0</v>
      </c>
      <c r="G132" s="692">
        <f>G131</f>
        <v>0</v>
      </c>
      <c r="H132" s="693"/>
      <c r="J132" s="97" t="s">
        <v>777</v>
      </c>
      <c r="K132" s="86">
        <f>SUM(K120:K131)</f>
        <v>0</v>
      </c>
      <c r="L132" s="86">
        <f>SUM(L120:L131)</f>
        <v>0</v>
      </c>
      <c r="M132" s="86">
        <f>SUM(M120:M131)</f>
        <v>0</v>
      </c>
      <c r="N132" s="692">
        <f>N131</f>
        <v>0</v>
      </c>
      <c r="O132" s="711"/>
      <c r="Q132" s="97" t="s">
        <v>777</v>
      </c>
      <c r="R132" s="104">
        <f>SUM(R120:R131)</f>
        <v>0</v>
      </c>
      <c r="S132" s="104">
        <f>SUM(S120:S131)</f>
        <v>0</v>
      </c>
      <c r="T132" s="104">
        <f>SUM(T120:T131)</f>
        <v>0</v>
      </c>
      <c r="U132" s="692">
        <f>U131</f>
        <v>0</v>
      </c>
      <c r="V132" s="693"/>
      <c r="X132" s="97" t="s">
        <v>777</v>
      </c>
      <c r="Y132" s="104">
        <f>SUM(Y120:Y131)</f>
        <v>0</v>
      </c>
      <c r="Z132" s="104">
        <f>SUM(Z120:Z131)</f>
        <v>0</v>
      </c>
      <c r="AA132" s="104">
        <f>SUM(AA120:AA131)</f>
        <v>0</v>
      </c>
      <c r="AB132" s="692">
        <f>AB131</f>
        <v>0</v>
      </c>
      <c r="AC132" s="693"/>
    </row>
    <row r="133" spans="3:29" x14ac:dyDescent="0.2">
      <c r="C133" s="95">
        <v>85</v>
      </c>
      <c r="D133" s="101" t="str">
        <f t="shared" ref="D133:D144" si="112">IF(G132&gt;0,G132*($E$36)/12,"$0.00")</f>
        <v>$0.00</v>
      </c>
      <c r="E133" s="101" t="str">
        <f t="shared" ref="E133:E144" si="113">IF(G132&gt;0,IF($E$38=4,"$0.00",IF($E$38=3,"$0.00",IF($E$38=2,"$0.00",+$G$39-D133))),"$0.00")</f>
        <v>$0.00</v>
      </c>
      <c r="F133" s="101" t="str">
        <f t="shared" ref="F133:F144" si="114">IF(G132=0,"$0.00",IF($E$38=4,"$0.00",IF($E$38=3,"$0.00",IF($E$38=2,D133,D133+E133))))</f>
        <v>$0.00</v>
      </c>
      <c r="G133" s="688" t="str">
        <f t="shared" ref="G133:G144" si="115">IF(G132=0,"$0.00",IF($E$38=4,G132+D133,IF($E$38=3,G132+D133,IF($E$38=2,G132,G132-E133))))</f>
        <v>$0.00</v>
      </c>
      <c r="H133" s="689"/>
      <c r="J133" s="95">
        <v>85</v>
      </c>
      <c r="K133" s="96">
        <f t="shared" ref="K133:K144" si="116">N132*($L$36)/12</f>
        <v>0</v>
      </c>
      <c r="L133" s="96">
        <f t="shared" ref="L133:L144" si="117">IF(L129=4,"$0.00",+$N$39-K133)</f>
        <v>0</v>
      </c>
      <c r="M133" s="96">
        <f t="shared" ref="M133:M144" si="118">IF(L129=4,"$0.00",K133+L133)</f>
        <v>0</v>
      </c>
      <c r="N133" s="709">
        <f t="shared" ref="N133:N144" si="119">IF(L129=4,N132+K133,N132-L133)</f>
        <v>0</v>
      </c>
      <c r="O133" s="710"/>
      <c r="Q133" s="95">
        <v>85</v>
      </c>
      <c r="R133" s="101" t="str">
        <f t="shared" ref="R133:R144" si="120">IF(U132&gt;0,U132*($S$36)/12,"$0.00")</f>
        <v>$0.00</v>
      </c>
      <c r="S133" s="101" t="str">
        <f t="shared" ref="S133:S144" si="121">IF(U132&gt;0,IF($S$38=4,"$0.00",IF($S$38=3,"$0.00",IF($S$38=2,"$0.00",+$U$39-R133))),"$0.00")</f>
        <v>$0.00</v>
      </c>
      <c r="T133" s="101" t="str">
        <f t="shared" ref="T133:T144" si="122">IF(U132=0,"$0.00",IF($S$38=4,"$0.00",IF($S$38=3,"$0.00",IF($S$38=2,R133,R133+S133))))</f>
        <v>$0.00</v>
      </c>
      <c r="U133" s="688" t="str">
        <f t="shared" ref="U133:U144" si="123">IF(U132=0,"$0.00",IF($S$38=4,U132+R133,IF($S$38=3,U132+R133,IF($S$38=2,U132,U132-S133))))</f>
        <v>$0.00</v>
      </c>
      <c r="V133" s="689"/>
      <c r="X133" s="95">
        <v>85</v>
      </c>
      <c r="Y133" s="101" t="str">
        <f t="shared" ref="Y133:Y144" si="124">IF(AB132&gt;0,AB132*($Z$36)/12,"$0.00")</f>
        <v>$0.00</v>
      </c>
      <c r="Z133" s="101" t="str">
        <f t="shared" ref="Z133:Z144" si="125">IF(AB132&gt;0,IF($Z$38=4,"$0.00",IF($Z$38=3,"$0.00",IF($Z$38=2,"$0.00",+$AB$39-Y133))),"$0.00")</f>
        <v>$0.00</v>
      </c>
      <c r="AA133" s="101" t="str">
        <f t="shared" ref="AA133:AA144" si="126">IF(AB132=0,"$0.00",IF($Z$38=4,"$0.00",IF($Z$38=3,"$0.00",IF($Z$38=2,Y133,Y133+Z133))))</f>
        <v>$0.00</v>
      </c>
      <c r="AB133" s="688" t="str">
        <f t="shared" ref="AB133:AB144" si="127">IF(AB132=0,"$0.00",IF($Z$38=4,AB132+Y133,IF($Z$38=3,AB132+Y133,IF($Z$38=2,AB132,AB132-Z133))))</f>
        <v>$0.00</v>
      </c>
      <c r="AC133" s="689"/>
    </row>
    <row r="134" spans="3:29" x14ac:dyDescent="0.2">
      <c r="C134" s="95">
        <v>86</v>
      </c>
      <c r="D134" s="101">
        <f t="shared" si="112"/>
        <v>0</v>
      </c>
      <c r="E134" s="101">
        <f t="shared" si="113"/>
        <v>0</v>
      </c>
      <c r="F134" s="101">
        <f t="shared" si="114"/>
        <v>0</v>
      </c>
      <c r="G134" s="688">
        <f t="shared" si="115"/>
        <v>0</v>
      </c>
      <c r="H134" s="689"/>
      <c r="J134" s="95">
        <v>86</v>
      </c>
      <c r="K134" s="96">
        <f t="shared" si="116"/>
        <v>0</v>
      </c>
      <c r="L134" s="96">
        <f t="shared" si="117"/>
        <v>0</v>
      </c>
      <c r="M134" s="96">
        <f t="shared" si="118"/>
        <v>0</v>
      </c>
      <c r="N134" s="688">
        <f t="shared" si="119"/>
        <v>0</v>
      </c>
      <c r="O134" s="689"/>
      <c r="Q134" s="95">
        <v>86</v>
      </c>
      <c r="R134" s="101">
        <f t="shared" si="120"/>
        <v>0</v>
      </c>
      <c r="S134" s="101">
        <f t="shared" si="121"/>
        <v>0</v>
      </c>
      <c r="T134" s="101">
        <f t="shared" si="122"/>
        <v>0</v>
      </c>
      <c r="U134" s="688">
        <f t="shared" si="123"/>
        <v>0</v>
      </c>
      <c r="V134" s="689"/>
      <c r="X134" s="95">
        <v>86</v>
      </c>
      <c r="Y134" s="101">
        <f t="shared" si="124"/>
        <v>0</v>
      </c>
      <c r="Z134" s="101">
        <f t="shared" si="125"/>
        <v>0</v>
      </c>
      <c r="AA134" s="101">
        <f t="shared" si="126"/>
        <v>0</v>
      </c>
      <c r="AB134" s="688">
        <f t="shared" si="127"/>
        <v>0</v>
      </c>
      <c r="AC134" s="689"/>
    </row>
    <row r="135" spans="3:29" x14ac:dyDescent="0.2">
      <c r="C135" s="95">
        <v>87</v>
      </c>
      <c r="D135" s="101" t="str">
        <f t="shared" si="112"/>
        <v>$0.00</v>
      </c>
      <c r="E135" s="101" t="str">
        <f t="shared" si="113"/>
        <v>$0.00</v>
      </c>
      <c r="F135" s="101" t="str">
        <f t="shared" si="114"/>
        <v>$0.00</v>
      </c>
      <c r="G135" s="688" t="str">
        <f t="shared" si="115"/>
        <v>$0.00</v>
      </c>
      <c r="H135" s="689"/>
      <c r="J135" s="95">
        <v>87</v>
      </c>
      <c r="K135" s="96">
        <f t="shared" si="116"/>
        <v>0</v>
      </c>
      <c r="L135" s="96">
        <f t="shared" si="117"/>
        <v>0</v>
      </c>
      <c r="M135" s="96">
        <f t="shared" si="118"/>
        <v>0</v>
      </c>
      <c r="N135" s="688">
        <f t="shared" si="119"/>
        <v>0</v>
      </c>
      <c r="O135" s="689"/>
      <c r="Q135" s="95">
        <v>87</v>
      </c>
      <c r="R135" s="101" t="str">
        <f t="shared" si="120"/>
        <v>$0.00</v>
      </c>
      <c r="S135" s="101" t="str">
        <f t="shared" si="121"/>
        <v>$0.00</v>
      </c>
      <c r="T135" s="101" t="str">
        <f t="shared" si="122"/>
        <v>$0.00</v>
      </c>
      <c r="U135" s="688" t="str">
        <f t="shared" si="123"/>
        <v>$0.00</v>
      </c>
      <c r="V135" s="689"/>
      <c r="X135" s="95">
        <v>87</v>
      </c>
      <c r="Y135" s="101" t="str">
        <f t="shared" si="124"/>
        <v>$0.00</v>
      </c>
      <c r="Z135" s="101" t="str">
        <f t="shared" si="125"/>
        <v>$0.00</v>
      </c>
      <c r="AA135" s="101" t="str">
        <f t="shared" si="126"/>
        <v>$0.00</v>
      </c>
      <c r="AB135" s="688" t="str">
        <f t="shared" si="127"/>
        <v>$0.00</v>
      </c>
      <c r="AC135" s="689"/>
    </row>
    <row r="136" spans="3:29" x14ac:dyDescent="0.2">
      <c r="C136" s="95">
        <v>88</v>
      </c>
      <c r="D136" s="101">
        <f t="shared" si="112"/>
        <v>0</v>
      </c>
      <c r="E136" s="101">
        <f t="shared" si="113"/>
        <v>0</v>
      </c>
      <c r="F136" s="101">
        <f t="shared" si="114"/>
        <v>0</v>
      </c>
      <c r="G136" s="688">
        <f t="shared" si="115"/>
        <v>0</v>
      </c>
      <c r="H136" s="689"/>
      <c r="J136" s="95">
        <v>88</v>
      </c>
      <c r="K136" s="96">
        <f t="shared" si="116"/>
        <v>0</v>
      </c>
      <c r="L136" s="96">
        <f t="shared" si="117"/>
        <v>0</v>
      </c>
      <c r="M136" s="96">
        <f t="shared" si="118"/>
        <v>0</v>
      </c>
      <c r="N136" s="688">
        <f t="shared" si="119"/>
        <v>0</v>
      </c>
      <c r="O136" s="689"/>
      <c r="Q136" s="95">
        <v>88</v>
      </c>
      <c r="R136" s="101">
        <f t="shared" si="120"/>
        <v>0</v>
      </c>
      <c r="S136" s="101">
        <f t="shared" si="121"/>
        <v>0</v>
      </c>
      <c r="T136" s="101">
        <f t="shared" si="122"/>
        <v>0</v>
      </c>
      <c r="U136" s="688">
        <f t="shared" si="123"/>
        <v>0</v>
      </c>
      <c r="V136" s="689"/>
      <c r="X136" s="95">
        <v>88</v>
      </c>
      <c r="Y136" s="101">
        <f t="shared" si="124"/>
        <v>0</v>
      </c>
      <c r="Z136" s="101">
        <f t="shared" si="125"/>
        <v>0</v>
      </c>
      <c r="AA136" s="101">
        <f t="shared" si="126"/>
        <v>0</v>
      </c>
      <c r="AB136" s="688">
        <f t="shared" si="127"/>
        <v>0</v>
      </c>
      <c r="AC136" s="689"/>
    </row>
    <row r="137" spans="3:29" x14ac:dyDescent="0.2">
      <c r="C137" s="95">
        <v>89</v>
      </c>
      <c r="D137" s="101" t="str">
        <f t="shared" si="112"/>
        <v>$0.00</v>
      </c>
      <c r="E137" s="101" t="str">
        <f t="shared" si="113"/>
        <v>$0.00</v>
      </c>
      <c r="F137" s="101" t="str">
        <f t="shared" si="114"/>
        <v>$0.00</v>
      </c>
      <c r="G137" s="688" t="str">
        <f t="shared" si="115"/>
        <v>$0.00</v>
      </c>
      <c r="H137" s="689"/>
      <c r="J137" s="95">
        <v>89</v>
      </c>
      <c r="K137" s="96">
        <f t="shared" si="116"/>
        <v>0</v>
      </c>
      <c r="L137" s="96">
        <f t="shared" si="117"/>
        <v>0</v>
      </c>
      <c r="M137" s="96">
        <f t="shared" si="118"/>
        <v>0</v>
      </c>
      <c r="N137" s="688">
        <f t="shared" si="119"/>
        <v>0</v>
      </c>
      <c r="O137" s="689"/>
      <c r="Q137" s="95">
        <v>89</v>
      </c>
      <c r="R137" s="101" t="str">
        <f t="shared" si="120"/>
        <v>$0.00</v>
      </c>
      <c r="S137" s="101" t="str">
        <f t="shared" si="121"/>
        <v>$0.00</v>
      </c>
      <c r="T137" s="101" t="str">
        <f t="shared" si="122"/>
        <v>$0.00</v>
      </c>
      <c r="U137" s="688" t="str">
        <f t="shared" si="123"/>
        <v>$0.00</v>
      </c>
      <c r="V137" s="689"/>
      <c r="X137" s="95">
        <v>89</v>
      </c>
      <c r="Y137" s="101" t="str">
        <f t="shared" si="124"/>
        <v>$0.00</v>
      </c>
      <c r="Z137" s="101" t="str">
        <f t="shared" si="125"/>
        <v>$0.00</v>
      </c>
      <c r="AA137" s="101" t="str">
        <f t="shared" si="126"/>
        <v>$0.00</v>
      </c>
      <c r="AB137" s="688" t="str">
        <f t="shared" si="127"/>
        <v>$0.00</v>
      </c>
      <c r="AC137" s="689"/>
    </row>
    <row r="138" spans="3:29" x14ac:dyDescent="0.2">
      <c r="C138" s="95">
        <v>90</v>
      </c>
      <c r="D138" s="101">
        <f t="shared" si="112"/>
        <v>0</v>
      </c>
      <c r="E138" s="101">
        <f t="shared" si="113"/>
        <v>0</v>
      </c>
      <c r="F138" s="101">
        <f t="shared" si="114"/>
        <v>0</v>
      </c>
      <c r="G138" s="688">
        <f t="shared" si="115"/>
        <v>0</v>
      </c>
      <c r="H138" s="689"/>
      <c r="J138" s="95">
        <v>90</v>
      </c>
      <c r="K138" s="96">
        <f t="shared" si="116"/>
        <v>0</v>
      </c>
      <c r="L138" s="96">
        <f t="shared" si="117"/>
        <v>0</v>
      </c>
      <c r="M138" s="96">
        <f t="shared" si="118"/>
        <v>0</v>
      </c>
      <c r="N138" s="688">
        <f t="shared" si="119"/>
        <v>0</v>
      </c>
      <c r="O138" s="689"/>
      <c r="Q138" s="95">
        <v>90</v>
      </c>
      <c r="R138" s="101">
        <f t="shared" si="120"/>
        <v>0</v>
      </c>
      <c r="S138" s="101">
        <f t="shared" si="121"/>
        <v>0</v>
      </c>
      <c r="T138" s="101">
        <f t="shared" si="122"/>
        <v>0</v>
      </c>
      <c r="U138" s="688">
        <f t="shared" si="123"/>
        <v>0</v>
      </c>
      <c r="V138" s="689"/>
      <c r="X138" s="95">
        <v>90</v>
      </c>
      <c r="Y138" s="101">
        <f t="shared" si="124"/>
        <v>0</v>
      </c>
      <c r="Z138" s="101">
        <f t="shared" si="125"/>
        <v>0</v>
      </c>
      <c r="AA138" s="101">
        <f t="shared" si="126"/>
        <v>0</v>
      </c>
      <c r="AB138" s="688">
        <f t="shared" si="127"/>
        <v>0</v>
      </c>
      <c r="AC138" s="689"/>
    </row>
    <row r="139" spans="3:29" x14ac:dyDescent="0.2">
      <c r="C139" s="95">
        <v>91</v>
      </c>
      <c r="D139" s="101" t="str">
        <f t="shared" si="112"/>
        <v>$0.00</v>
      </c>
      <c r="E139" s="101" t="str">
        <f t="shared" si="113"/>
        <v>$0.00</v>
      </c>
      <c r="F139" s="101" t="str">
        <f t="shared" si="114"/>
        <v>$0.00</v>
      </c>
      <c r="G139" s="688" t="str">
        <f t="shared" si="115"/>
        <v>$0.00</v>
      </c>
      <c r="H139" s="689"/>
      <c r="J139" s="95">
        <v>91</v>
      </c>
      <c r="K139" s="96">
        <f t="shared" si="116"/>
        <v>0</v>
      </c>
      <c r="L139" s="96">
        <f t="shared" si="117"/>
        <v>0</v>
      </c>
      <c r="M139" s="96">
        <f t="shared" si="118"/>
        <v>0</v>
      </c>
      <c r="N139" s="688">
        <f t="shared" si="119"/>
        <v>0</v>
      </c>
      <c r="O139" s="689"/>
      <c r="Q139" s="95">
        <v>91</v>
      </c>
      <c r="R139" s="101" t="str">
        <f t="shared" si="120"/>
        <v>$0.00</v>
      </c>
      <c r="S139" s="101" t="str">
        <f t="shared" si="121"/>
        <v>$0.00</v>
      </c>
      <c r="T139" s="101" t="str">
        <f t="shared" si="122"/>
        <v>$0.00</v>
      </c>
      <c r="U139" s="688" t="str">
        <f t="shared" si="123"/>
        <v>$0.00</v>
      </c>
      <c r="V139" s="689"/>
      <c r="X139" s="95">
        <v>91</v>
      </c>
      <c r="Y139" s="101" t="str">
        <f t="shared" si="124"/>
        <v>$0.00</v>
      </c>
      <c r="Z139" s="101" t="str">
        <f t="shared" si="125"/>
        <v>$0.00</v>
      </c>
      <c r="AA139" s="101" t="str">
        <f t="shared" si="126"/>
        <v>$0.00</v>
      </c>
      <c r="AB139" s="688" t="str">
        <f t="shared" si="127"/>
        <v>$0.00</v>
      </c>
      <c r="AC139" s="689"/>
    </row>
    <row r="140" spans="3:29" x14ac:dyDescent="0.2">
      <c r="C140" s="95">
        <v>92</v>
      </c>
      <c r="D140" s="101">
        <f t="shared" si="112"/>
        <v>0</v>
      </c>
      <c r="E140" s="101">
        <f t="shared" si="113"/>
        <v>0</v>
      </c>
      <c r="F140" s="101">
        <f t="shared" si="114"/>
        <v>0</v>
      </c>
      <c r="G140" s="688">
        <f t="shared" si="115"/>
        <v>0</v>
      </c>
      <c r="H140" s="689"/>
      <c r="J140" s="95">
        <v>92</v>
      </c>
      <c r="K140" s="96">
        <f t="shared" si="116"/>
        <v>0</v>
      </c>
      <c r="L140" s="96">
        <f t="shared" si="117"/>
        <v>0</v>
      </c>
      <c r="M140" s="96">
        <f t="shared" si="118"/>
        <v>0</v>
      </c>
      <c r="N140" s="688">
        <f t="shared" si="119"/>
        <v>0</v>
      </c>
      <c r="O140" s="689"/>
      <c r="Q140" s="95">
        <v>92</v>
      </c>
      <c r="R140" s="101">
        <f t="shared" si="120"/>
        <v>0</v>
      </c>
      <c r="S140" s="101">
        <f t="shared" si="121"/>
        <v>0</v>
      </c>
      <c r="T140" s="101">
        <f t="shared" si="122"/>
        <v>0</v>
      </c>
      <c r="U140" s="688">
        <f t="shared" si="123"/>
        <v>0</v>
      </c>
      <c r="V140" s="689"/>
      <c r="X140" s="95">
        <v>92</v>
      </c>
      <c r="Y140" s="101">
        <f t="shared" si="124"/>
        <v>0</v>
      </c>
      <c r="Z140" s="101">
        <f t="shared" si="125"/>
        <v>0</v>
      </c>
      <c r="AA140" s="101">
        <f t="shared" si="126"/>
        <v>0</v>
      </c>
      <c r="AB140" s="688">
        <f t="shared" si="127"/>
        <v>0</v>
      </c>
      <c r="AC140" s="689"/>
    </row>
    <row r="141" spans="3:29" x14ac:dyDescent="0.2">
      <c r="C141" s="95">
        <v>93</v>
      </c>
      <c r="D141" s="101" t="str">
        <f t="shared" si="112"/>
        <v>$0.00</v>
      </c>
      <c r="E141" s="101" t="str">
        <f t="shared" si="113"/>
        <v>$0.00</v>
      </c>
      <c r="F141" s="101" t="str">
        <f t="shared" si="114"/>
        <v>$0.00</v>
      </c>
      <c r="G141" s="688" t="str">
        <f t="shared" si="115"/>
        <v>$0.00</v>
      </c>
      <c r="H141" s="689"/>
      <c r="J141" s="95">
        <v>93</v>
      </c>
      <c r="K141" s="96">
        <f t="shared" si="116"/>
        <v>0</v>
      </c>
      <c r="L141" s="96">
        <f t="shared" si="117"/>
        <v>0</v>
      </c>
      <c r="M141" s="96">
        <f t="shared" si="118"/>
        <v>0</v>
      </c>
      <c r="N141" s="688">
        <f t="shared" si="119"/>
        <v>0</v>
      </c>
      <c r="O141" s="689"/>
      <c r="Q141" s="95">
        <v>93</v>
      </c>
      <c r="R141" s="101" t="str">
        <f t="shared" si="120"/>
        <v>$0.00</v>
      </c>
      <c r="S141" s="101" t="str">
        <f t="shared" si="121"/>
        <v>$0.00</v>
      </c>
      <c r="T141" s="101" t="str">
        <f t="shared" si="122"/>
        <v>$0.00</v>
      </c>
      <c r="U141" s="688" t="str">
        <f t="shared" si="123"/>
        <v>$0.00</v>
      </c>
      <c r="V141" s="689"/>
      <c r="X141" s="95">
        <v>93</v>
      </c>
      <c r="Y141" s="101" t="str">
        <f t="shared" si="124"/>
        <v>$0.00</v>
      </c>
      <c r="Z141" s="101" t="str">
        <f t="shared" si="125"/>
        <v>$0.00</v>
      </c>
      <c r="AA141" s="101" t="str">
        <f t="shared" si="126"/>
        <v>$0.00</v>
      </c>
      <c r="AB141" s="688" t="str">
        <f t="shared" si="127"/>
        <v>$0.00</v>
      </c>
      <c r="AC141" s="689"/>
    </row>
    <row r="142" spans="3:29" x14ac:dyDescent="0.2">
      <c r="C142" s="95">
        <v>94</v>
      </c>
      <c r="D142" s="101">
        <f t="shared" si="112"/>
        <v>0</v>
      </c>
      <c r="E142" s="101">
        <f t="shared" si="113"/>
        <v>0</v>
      </c>
      <c r="F142" s="101">
        <f t="shared" si="114"/>
        <v>0</v>
      </c>
      <c r="G142" s="688">
        <f t="shared" si="115"/>
        <v>0</v>
      </c>
      <c r="H142" s="689"/>
      <c r="J142" s="95">
        <v>94</v>
      </c>
      <c r="K142" s="96">
        <f t="shared" si="116"/>
        <v>0</v>
      </c>
      <c r="L142" s="96">
        <f t="shared" si="117"/>
        <v>0</v>
      </c>
      <c r="M142" s="96">
        <f t="shared" si="118"/>
        <v>0</v>
      </c>
      <c r="N142" s="688">
        <f t="shared" si="119"/>
        <v>0</v>
      </c>
      <c r="O142" s="689"/>
      <c r="Q142" s="95">
        <v>94</v>
      </c>
      <c r="R142" s="101">
        <f t="shared" si="120"/>
        <v>0</v>
      </c>
      <c r="S142" s="101">
        <f t="shared" si="121"/>
        <v>0</v>
      </c>
      <c r="T142" s="101">
        <f t="shared" si="122"/>
        <v>0</v>
      </c>
      <c r="U142" s="688">
        <f t="shared" si="123"/>
        <v>0</v>
      </c>
      <c r="V142" s="689"/>
      <c r="X142" s="95">
        <v>94</v>
      </c>
      <c r="Y142" s="101">
        <f t="shared" si="124"/>
        <v>0</v>
      </c>
      <c r="Z142" s="101">
        <f t="shared" si="125"/>
        <v>0</v>
      </c>
      <c r="AA142" s="101">
        <f t="shared" si="126"/>
        <v>0</v>
      </c>
      <c r="AB142" s="688">
        <f t="shared" si="127"/>
        <v>0</v>
      </c>
      <c r="AC142" s="689"/>
    </row>
    <row r="143" spans="3:29" x14ac:dyDescent="0.2">
      <c r="C143" s="95">
        <v>95</v>
      </c>
      <c r="D143" s="101" t="str">
        <f t="shared" si="112"/>
        <v>$0.00</v>
      </c>
      <c r="E143" s="101" t="str">
        <f t="shared" si="113"/>
        <v>$0.00</v>
      </c>
      <c r="F143" s="101" t="str">
        <f t="shared" si="114"/>
        <v>$0.00</v>
      </c>
      <c r="G143" s="688" t="str">
        <f t="shared" si="115"/>
        <v>$0.00</v>
      </c>
      <c r="H143" s="689"/>
      <c r="J143" s="95">
        <v>95</v>
      </c>
      <c r="K143" s="96">
        <f t="shared" si="116"/>
        <v>0</v>
      </c>
      <c r="L143" s="96">
        <f t="shared" si="117"/>
        <v>0</v>
      </c>
      <c r="M143" s="96">
        <f t="shared" si="118"/>
        <v>0</v>
      </c>
      <c r="N143" s="688">
        <f t="shared" si="119"/>
        <v>0</v>
      </c>
      <c r="O143" s="689"/>
      <c r="Q143" s="95">
        <v>95</v>
      </c>
      <c r="R143" s="101" t="str">
        <f t="shared" si="120"/>
        <v>$0.00</v>
      </c>
      <c r="S143" s="101" t="str">
        <f t="shared" si="121"/>
        <v>$0.00</v>
      </c>
      <c r="T143" s="101" t="str">
        <f t="shared" si="122"/>
        <v>$0.00</v>
      </c>
      <c r="U143" s="688" t="str">
        <f t="shared" si="123"/>
        <v>$0.00</v>
      </c>
      <c r="V143" s="689"/>
      <c r="X143" s="95">
        <v>95</v>
      </c>
      <c r="Y143" s="101" t="str">
        <f t="shared" si="124"/>
        <v>$0.00</v>
      </c>
      <c r="Z143" s="101" t="str">
        <f t="shared" si="125"/>
        <v>$0.00</v>
      </c>
      <c r="AA143" s="101" t="str">
        <f t="shared" si="126"/>
        <v>$0.00</v>
      </c>
      <c r="AB143" s="688" t="str">
        <f t="shared" si="127"/>
        <v>$0.00</v>
      </c>
      <c r="AC143" s="689"/>
    </row>
    <row r="144" spans="3:29" x14ac:dyDescent="0.2">
      <c r="C144" s="95">
        <v>96</v>
      </c>
      <c r="D144" s="101">
        <f t="shared" si="112"/>
        <v>0</v>
      </c>
      <c r="E144" s="101">
        <f t="shared" si="113"/>
        <v>0</v>
      </c>
      <c r="F144" s="101">
        <f t="shared" si="114"/>
        <v>0</v>
      </c>
      <c r="G144" s="690">
        <f t="shared" si="115"/>
        <v>0</v>
      </c>
      <c r="H144" s="691"/>
      <c r="J144" s="95">
        <v>96</v>
      </c>
      <c r="K144" s="96">
        <f t="shared" si="116"/>
        <v>0</v>
      </c>
      <c r="L144" s="96">
        <f t="shared" si="117"/>
        <v>0</v>
      </c>
      <c r="M144" s="96">
        <f t="shared" si="118"/>
        <v>0</v>
      </c>
      <c r="N144" s="690">
        <f t="shared" si="119"/>
        <v>0</v>
      </c>
      <c r="O144" s="691"/>
      <c r="Q144" s="95">
        <v>96</v>
      </c>
      <c r="R144" s="101">
        <f t="shared" si="120"/>
        <v>0</v>
      </c>
      <c r="S144" s="101">
        <f t="shared" si="121"/>
        <v>0</v>
      </c>
      <c r="T144" s="101">
        <f t="shared" si="122"/>
        <v>0</v>
      </c>
      <c r="U144" s="690">
        <f t="shared" si="123"/>
        <v>0</v>
      </c>
      <c r="V144" s="691"/>
      <c r="X144" s="95">
        <v>96</v>
      </c>
      <c r="Y144" s="101">
        <f t="shared" si="124"/>
        <v>0</v>
      </c>
      <c r="Z144" s="101">
        <f t="shared" si="125"/>
        <v>0</v>
      </c>
      <c r="AA144" s="101">
        <f t="shared" si="126"/>
        <v>0</v>
      </c>
      <c r="AB144" s="690">
        <f t="shared" si="127"/>
        <v>0</v>
      </c>
      <c r="AC144" s="691"/>
    </row>
    <row r="145" spans="3:29" x14ac:dyDescent="0.2">
      <c r="C145" s="97" t="s">
        <v>778</v>
      </c>
      <c r="D145" s="104">
        <f>SUM(D133:D144)</f>
        <v>0</v>
      </c>
      <c r="E145" s="104">
        <f>SUM(E133:E144)</f>
        <v>0</v>
      </c>
      <c r="F145" s="104">
        <f>SUM(F133:F144)</f>
        <v>0</v>
      </c>
      <c r="G145" s="692">
        <f>G144</f>
        <v>0</v>
      </c>
      <c r="H145" s="693"/>
      <c r="J145" s="97" t="s">
        <v>778</v>
      </c>
      <c r="K145" s="86">
        <f>SUM(K133:K144)</f>
        <v>0</v>
      </c>
      <c r="L145" s="86">
        <f>SUM(L133:L144)</f>
        <v>0</v>
      </c>
      <c r="M145" s="86">
        <f>SUM(M133:M144)</f>
        <v>0</v>
      </c>
      <c r="N145" s="692">
        <f>N144</f>
        <v>0</v>
      </c>
      <c r="O145" s="711"/>
      <c r="Q145" s="97" t="s">
        <v>778</v>
      </c>
      <c r="R145" s="104">
        <f>SUM(R133:R144)</f>
        <v>0</v>
      </c>
      <c r="S145" s="104">
        <f>SUM(S133:S144)</f>
        <v>0</v>
      </c>
      <c r="T145" s="104">
        <f>SUM(T133:T144)</f>
        <v>0</v>
      </c>
      <c r="U145" s="692">
        <f>U144</f>
        <v>0</v>
      </c>
      <c r="V145" s="693"/>
      <c r="X145" s="97" t="s">
        <v>778</v>
      </c>
      <c r="Y145" s="104">
        <f>SUM(Y133:Y144)</f>
        <v>0</v>
      </c>
      <c r="Z145" s="104">
        <f>SUM(Z133:Z144)</f>
        <v>0</v>
      </c>
      <c r="AA145" s="104">
        <f>SUM(AA133:AA144)</f>
        <v>0</v>
      </c>
      <c r="AB145" s="692">
        <f>AB144</f>
        <v>0</v>
      </c>
      <c r="AC145" s="693"/>
    </row>
    <row r="146" spans="3:29" x14ac:dyDescent="0.2">
      <c r="C146" s="95">
        <v>97</v>
      </c>
      <c r="D146" s="101" t="str">
        <f t="shared" ref="D146:D157" si="128">IF(G145&gt;0,G145*($E$36)/12,"$0.00")</f>
        <v>$0.00</v>
      </c>
      <c r="E146" s="101" t="str">
        <f t="shared" ref="E146:E157" si="129">IF(G145&gt;0,IF($E$38=4,"$0.00",IF($E$38=3,"$0.00",IF($E$38=2,"$0.00",+$G$39-D146))),"$0.00")</f>
        <v>$0.00</v>
      </c>
      <c r="F146" s="101" t="str">
        <f t="shared" ref="F146:F157" si="130">IF(G145=0,"$0.00",IF($E$38=4,"$0.00",IF($E$38=3,"$0.00",IF($E$38=2,D146,D146+E146))))</f>
        <v>$0.00</v>
      </c>
      <c r="G146" s="688" t="str">
        <f t="shared" ref="G146:G157" si="131">IF(G145=0,"$0.00",IF($E$38=4,G145+D146,IF($E$38=3,G145+D146,IF($E$38=2,G145,G145-E146))))</f>
        <v>$0.00</v>
      </c>
      <c r="H146" s="689"/>
      <c r="J146" s="95">
        <v>97</v>
      </c>
      <c r="K146" s="96">
        <f t="shared" ref="K146:K157" si="132">N145*($L$36)/12</f>
        <v>0</v>
      </c>
      <c r="L146" s="96">
        <f t="shared" ref="L146:L157" si="133">IF(L142=4,"$0.00",+$N$39-K146)</f>
        <v>0</v>
      </c>
      <c r="M146" s="96">
        <f t="shared" ref="M146:M157" si="134">IF(L142=4,"$0.00",K146+L146)</f>
        <v>0</v>
      </c>
      <c r="N146" s="709">
        <f t="shared" ref="N146:N157" si="135">IF(L142=4,N145+K146,N145-L146)</f>
        <v>0</v>
      </c>
      <c r="O146" s="710"/>
      <c r="Q146" s="95">
        <v>97</v>
      </c>
      <c r="R146" s="101" t="str">
        <f t="shared" ref="R146:R157" si="136">IF(U145&gt;0,U145*($S$36)/12,"$0.00")</f>
        <v>$0.00</v>
      </c>
      <c r="S146" s="101" t="str">
        <f t="shared" ref="S146:S157" si="137">IF(U145&gt;0,IF($S$38=4,"$0.00",IF($S$38=3,"$0.00",IF($S$38=2,"$0.00",+$U$39-R146))),"$0.00")</f>
        <v>$0.00</v>
      </c>
      <c r="T146" s="101" t="str">
        <f t="shared" ref="T146:T157" si="138">IF(U145=0,"$0.00",IF($S$38=4,"$0.00",IF($S$38=3,"$0.00",IF($S$38=2,R146,R146+S146))))</f>
        <v>$0.00</v>
      </c>
      <c r="U146" s="688" t="str">
        <f t="shared" ref="U146:U157" si="139">IF(U145=0,"$0.00",IF($S$38=4,U145+R146,IF($S$38=3,U145+R146,IF($S$38=2,U145,U145-S146))))</f>
        <v>$0.00</v>
      </c>
      <c r="V146" s="689"/>
      <c r="X146" s="95">
        <v>97</v>
      </c>
      <c r="Y146" s="101" t="str">
        <f t="shared" ref="Y146:Y157" si="140">IF(AB145&gt;0,AB145*($Z$36)/12,"$0.00")</f>
        <v>$0.00</v>
      </c>
      <c r="Z146" s="101" t="str">
        <f t="shared" ref="Z146:Z157" si="141">IF(AB145&gt;0,IF($Z$38=4,"$0.00",IF($Z$38=3,"$0.00",IF($Z$38=2,"$0.00",+$AB$39-Y146))),"$0.00")</f>
        <v>$0.00</v>
      </c>
      <c r="AA146" s="101" t="str">
        <f t="shared" ref="AA146:AA157" si="142">IF(AB145=0,"$0.00",IF($Z$38=4,"$0.00",IF($Z$38=3,"$0.00",IF($Z$38=2,Y146,Y146+Z146))))</f>
        <v>$0.00</v>
      </c>
      <c r="AB146" s="688" t="str">
        <f t="shared" ref="AB146:AB157" si="143">IF(AB145=0,"$0.00",IF($Z$38=4,AB145+Y146,IF($Z$38=3,AB145+Y146,IF($Z$38=2,AB145,AB145-Z146))))</f>
        <v>$0.00</v>
      </c>
      <c r="AC146" s="689"/>
    </row>
    <row r="147" spans="3:29" x14ac:dyDescent="0.2">
      <c r="C147" s="95">
        <v>98</v>
      </c>
      <c r="D147" s="101">
        <f t="shared" si="128"/>
        <v>0</v>
      </c>
      <c r="E147" s="101">
        <f t="shared" si="129"/>
        <v>0</v>
      </c>
      <c r="F147" s="101">
        <f t="shared" si="130"/>
        <v>0</v>
      </c>
      <c r="G147" s="688">
        <f t="shared" si="131"/>
        <v>0</v>
      </c>
      <c r="H147" s="689"/>
      <c r="J147" s="95">
        <v>98</v>
      </c>
      <c r="K147" s="96">
        <f t="shared" si="132"/>
        <v>0</v>
      </c>
      <c r="L147" s="96">
        <f t="shared" si="133"/>
        <v>0</v>
      </c>
      <c r="M147" s="96">
        <f t="shared" si="134"/>
        <v>0</v>
      </c>
      <c r="N147" s="688">
        <f t="shared" si="135"/>
        <v>0</v>
      </c>
      <c r="O147" s="689"/>
      <c r="Q147" s="95">
        <v>98</v>
      </c>
      <c r="R147" s="101">
        <f t="shared" si="136"/>
        <v>0</v>
      </c>
      <c r="S147" s="101">
        <f t="shared" si="137"/>
        <v>0</v>
      </c>
      <c r="T147" s="101">
        <f t="shared" si="138"/>
        <v>0</v>
      </c>
      <c r="U147" s="688">
        <f t="shared" si="139"/>
        <v>0</v>
      </c>
      <c r="V147" s="689"/>
      <c r="X147" s="95">
        <v>98</v>
      </c>
      <c r="Y147" s="101">
        <f t="shared" si="140"/>
        <v>0</v>
      </c>
      <c r="Z147" s="101">
        <f t="shared" si="141"/>
        <v>0</v>
      </c>
      <c r="AA147" s="101">
        <f t="shared" si="142"/>
        <v>0</v>
      </c>
      <c r="AB147" s="688">
        <f t="shared" si="143"/>
        <v>0</v>
      </c>
      <c r="AC147" s="689"/>
    </row>
    <row r="148" spans="3:29" x14ac:dyDescent="0.2">
      <c r="C148" s="95">
        <v>99</v>
      </c>
      <c r="D148" s="101" t="str">
        <f t="shared" si="128"/>
        <v>$0.00</v>
      </c>
      <c r="E148" s="101" t="str">
        <f t="shared" si="129"/>
        <v>$0.00</v>
      </c>
      <c r="F148" s="101" t="str">
        <f t="shared" si="130"/>
        <v>$0.00</v>
      </c>
      <c r="G148" s="688" t="str">
        <f t="shared" si="131"/>
        <v>$0.00</v>
      </c>
      <c r="H148" s="689"/>
      <c r="J148" s="95">
        <v>99</v>
      </c>
      <c r="K148" s="96">
        <f t="shared" si="132"/>
        <v>0</v>
      </c>
      <c r="L148" s="96">
        <f t="shared" si="133"/>
        <v>0</v>
      </c>
      <c r="M148" s="96">
        <f t="shared" si="134"/>
        <v>0</v>
      </c>
      <c r="N148" s="688">
        <f t="shared" si="135"/>
        <v>0</v>
      </c>
      <c r="O148" s="689"/>
      <c r="Q148" s="95">
        <v>99</v>
      </c>
      <c r="R148" s="101" t="str">
        <f t="shared" si="136"/>
        <v>$0.00</v>
      </c>
      <c r="S148" s="101" t="str">
        <f t="shared" si="137"/>
        <v>$0.00</v>
      </c>
      <c r="T148" s="101" t="str">
        <f t="shared" si="138"/>
        <v>$0.00</v>
      </c>
      <c r="U148" s="688" t="str">
        <f t="shared" si="139"/>
        <v>$0.00</v>
      </c>
      <c r="V148" s="689"/>
      <c r="X148" s="95">
        <v>99</v>
      </c>
      <c r="Y148" s="101" t="str">
        <f t="shared" si="140"/>
        <v>$0.00</v>
      </c>
      <c r="Z148" s="101" t="str">
        <f t="shared" si="141"/>
        <v>$0.00</v>
      </c>
      <c r="AA148" s="101" t="str">
        <f t="shared" si="142"/>
        <v>$0.00</v>
      </c>
      <c r="AB148" s="688" t="str">
        <f t="shared" si="143"/>
        <v>$0.00</v>
      </c>
      <c r="AC148" s="689"/>
    </row>
    <row r="149" spans="3:29" x14ac:dyDescent="0.2">
      <c r="C149" s="95">
        <v>100</v>
      </c>
      <c r="D149" s="101">
        <f t="shared" si="128"/>
        <v>0</v>
      </c>
      <c r="E149" s="101">
        <f t="shared" si="129"/>
        <v>0</v>
      </c>
      <c r="F149" s="101">
        <f t="shared" si="130"/>
        <v>0</v>
      </c>
      <c r="G149" s="688">
        <f t="shared" si="131"/>
        <v>0</v>
      </c>
      <c r="H149" s="689"/>
      <c r="J149" s="95">
        <v>100</v>
      </c>
      <c r="K149" s="96">
        <f t="shared" si="132"/>
        <v>0</v>
      </c>
      <c r="L149" s="96">
        <f t="shared" si="133"/>
        <v>0</v>
      </c>
      <c r="M149" s="96">
        <f t="shared" si="134"/>
        <v>0</v>
      </c>
      <c r="N149" s="688">
        <f t="shared" si="135"/>
        <v>0</v>
      </c>
      <c r="O149" s="689"/>
      <c r="Q149" s="95">
        <v>100</v>
      </c>
      <c r="R149" s="101">
        <f t="shared" si="136"/>
        <v>0</v>
      </c>
      <c r="S149" s="101">
        <f t="shared" si="137"/>
        <v>0</v>
      </c>
      <c r="T149" s="101">
        <f t="shared" si="138"/>
        <v>0</v>
      </c>
      <c r="U149" s="688">
        <f t="shared" si="139"/>
        <v>0</v>
      </c>
      <c r="V149" s="689"/>
      <c r="X149" s="95">
        <v>100</v>
      </c>
      <c r="Y149" s="101">
        <f t="shared" si="140"/>
        <v>0</v>
      </c>
      <c r="Z149" s="101">
        <f t="shared" si="141"/>
        <v>0</v>
      </c>
      <c r="AA149" s="101">
        <f t="shared" si="142"/>
        <v>0</v>
      </c>
      <c r="AB149" s="688">
        <f t="shared" si="143"/>
        <v>0</v>
      </c>
      <c r="AC149" s="689"/>
    </row>
    <row r="150" spans="3:29" x14ac:dyDescent="0.2">
      <c r="C150" s="95">
        <v>101</v>
      </c>
      <c r="D150" s="101" t="str">
        <f t="shared" si="128"/>
        <v>$0.00</v>
      </c>
      <c r="E150" s="101" t="str">
        <f t="shared" si="129"/>
        <v>$0.00</v>
      </c>
      <c r="F150" s="101" t="str">
        <f t="shared" si="130"/>
        <v>$0.00</v>
      </c>
      <c r="G150" s="688" t="str">
        <f t="shared" si="131"/>
        <v>$0.00</v>
      </c>
      <c r="H150" s="689"/>
      <c r="J150" s="95">
        <v>101</v>
      </c>
      <c r="K150" s="96">
        <f t="shared" si="132"/>
        <v>0</v>
      </c>
      <c r="L150" s="96">
        <f t="shared" si="133"/>
        <v>0</v>
      </c>
      <c r="M150" s="96">
        <f t="shared" si="134"/>
        <v>0</v>
      </c>
      <c r="N150" s="688">
        <f t="shared" si="135"/>
        <v>0</v>
      </c>
      <c r="O150" s="689"/>
      <c r="Q150" s="95">
        <v>101</v>
      </c>
      <c r="R150" s="101" t="str">
        <f t="shared" si="136"/>
        <v>$0.00</v>
      </c>
      <c r="S150" s="101" t="str">
        <f t="shared" si="137"/>
        <v>$0.00</v>
      </c>
      <c r="T150" s="101" t="str">
        <f t="shared" si="138"/>
        <v>$0.00</v>
      </c>
      <c r="U150" s="688" t="str">
        <f t="shared" si="139"/>
        <v>$0.00</v>
      </c>
      <c r="V150" s="689"/>
      <c r="X150" s="95">
        <v>101</v>
      </c>
      <c r="Y150" s="101" t="str">
        <f t="shared" si="140"/>
        <v>$0.00</v>
      </c>
      <c r="Z150" s="101" t="str">
        <f t="shared" si="141"/>
        <v>$0.00</v>
      </c>
      <c r="AA150" s="101" t="str">
        <f t="shared" si="142"/>
        <v>$0.00</v>
      </c>
      <c r="AB150" s="688" t="str">
        <f t="shared" si="143"/>
        <v>$0.00</v>
      </c>
      <c r="AC150" s="689"/>
    </row>
    <row r="151" spans="3:29" x14ac:dyDescent="0.2">
      <c r="C151" s="95">
        <v>102</v>
      </c>
      <c r="D151" s="101">
        <f t="shared" si="128"/>
        <v>0</v>
      </c>
      <c r="E151" s="101">
        <f t="shared" si="129"/>
        <v>0</v>
      </c>
      <c r="F151" s="101">
        <f t="shared" si="130"/>
        <v>0</v>
      </c>
      <c r="G151" s="688">
        <f t="shared" si="131"/>
        <v>0</v>
      </c>
      <c r="H151" s="689"/>
      <c r="J151" s="95">
        <v>102</v>
      </c>
      <c r="K151" s="96">
        <f t="shared" si="132"/>
        <v>0</v>
      </c>
      <c r="L151" s="96">
        <f t="shared" si="133"/>
        <v>0</v>
      </c>
      <c r="M151" s="96">
        <f t="shared" si="134"/>
        <v>0</v>
      </c>
      <c r="N151" s="688">
        <f t="shared" si="135"/>
        <v>0</v>
      </c>
      <c r="O151" s="689"/>
      <c r="Q151" s="95">
        <v>102</v>
      </c>
      <c r="R151" s="101">
        <f t="shared" si="136"/>
        <v>0</v>
      </c>
      <c r="S151" s="101">
        <f t="shared" si="137"/>
        <v>0</v>
      </c>
      <c r="T151" s="101">
        <f t="shared" si="138"/>
        <v>0</v>
      </c>
      <c r="U151" s="688">
        <f t="shared" si="139"/>
        <v>0</v>
      </c>
      <c r="V151" s="689"/>
      <c r="X151" s="95">
        <v>102</v>
      </c>
      <c r="Y151" s="101">
        <f t="shared" si="140"/>
        <v>0</v>
      </c>
      <c r="Z151" s="101">
        <f t="shared" si="141"/>
        <v>0</v>
      </c>
      <c r="AA151" s="101">
        <f t="shared" si="142"/>
        <v>0</v>
      </c>
      <c r="AB151" s="688">
        <f t="shared" si="143"/>
        <v>0</v>
      </c>
      <c r="AC151" s="689"/>
    </row>
    <row r="152" spans="3:29" x14ac:dyDescent="0.2">
      <c r="C152" s="95">
        <v>103</v>
      </c>
      <c r="D152" s="101" t="str">
        <f t="shared" si="128"/>
        <v>$0.00</v>
      </c>
      <c r="E152" s="101" t="str">
        <f t="shared" si="129"/>
        <v>$0.00</v>
      </c>
      <c r="F152" s="101" t="str">
        <f t="shared" si="130"/>
        <v>$0.00</v>
      </c>
      <c r="G152" s="688" t="str">
        <f t="shared" si="131"/>
        <v>$0.00</v>
      </c>
      <c r="H152" s="689"/>
      <c r="J152" s="95">
        <v>103</v>
      </c>
      <c r="K152" s="96">
        <f t="shared" si="132"/>
        <v>0</v>
      </c>
      <c r="L152" s="96">
        <f t="shared" si="133"/>
        <v>0</v>
      </c>
      <c r="M152" s="96">
        <f t="shared" si="134"/>
        <v>0</v>
      </c>
      <c r="N152" s="688">
        <f t="shared" si="135"/>
        <v>0</v>
      </c>
      <c r="O152" s="689"/>
      <c r="Q152" s="95">
        <v>103</v>
      </c>
      <c r="R152" s="101" t="str">
        <f t="shared" si="136"/>
        <v>$0.00</v>
      </c>
      <c r="S152" s="101" t="str">
        <f t="shared" si="137"/>
        <v>$0.00</v>
      </c>
      <c r="T152" s="101" t="str">
        <f t="shared" si="138"/>
        <v>$0.00</v>
      </c>
      <c r="U152" s="688" t="str">
        <f t="shared" si="139"/>
        <v>$0.00</v>
      </c>
      <c r="V152" s="689"/>
      <c r="X152" s="95">
        <v>103</v>
      </c>
      <c r="Y152" s="101" t="str">
        <f t="shared" si="140"/>
        <v>$0.00</v>
      </c>
      <c r="Z152" s="101" t="str">
        <f t="shared" si="141"/>
        <v>$0.00</v>
      </c>
      <c r="AA152" s="101" t="str">
        <f t="shared" si="142"/>
        <v>$0.00</v>
      </c>
      <c r="AB152" s="688" t="str">
        <f t="shared" si="143"/>
        <v>$0.00</v>
      </c>
      <c r="AC152" s="689"/>
    </row>
    <row r="153" spans="3:29" x14ac:dyDescent="0.2">
      <c r="C153" s="95">
        <v>104</v>
      </c>
      <c r="D153" s="101">
        <f t="shared" si="128"/>
        <v>0</v>
      </c>
      <c r="E153" s="101">
        <f t="shared" si="129"/>
        <v>0</v>
      </c>
      <c r="F153" s="101">
        <f t="shared" si="130"/>
        <v>0</v>
      </c>
      <c r="G153" s="688">
        <f t="shared" si="131"/>
        <v>0</v>
      </c>
      <c r="H153" s="689"/>
      <c r="J153" s="95">
        <v>104</v>
      </c>
      <c r="K153" s="96">
        <f t="shared" si="132"/>
        <v>0</v>
      </c>
      <c r="L153" s="96">
        <f t="shared" si="133"/>
        <v>0</v>
      </c>
      <c r="M153" s="96">
        <f t="shared" si="134"/>
        <v>0</v>
      </c>
      <c r="N153" s="688">
        <f t="shared" si="135"/>
        <v>0</v>
      </c>
      <c r="O153" s="689"/>
      <c r="Q153" s="95">
        <v>104</v>
      </c>
      <c r="R153" s="101">
        <f t="shared" si="136"/>
        <v>0</v>
      </c>
      <c r="S153" s="101">
        <f t="shared" si="137"/>
        <v>0</v>
      </c>
      <c r="T153" s="101">
        <f t="shared" si="138"/>
        <v>0</v>
      </c>
      <c r="U153" s="688">
        <f t="shared" si="139"/>
        <v>0</v>
      </c>
      <c r="V153" s="689"/>
      <c r="X153" s="95">
        <v>104</v>
      </c>
      <c r="Y153" s="101">
        <f t="shared" si="140"/>
        <v>0</v>
      </c>
      <c r="Z153" s="101">
        <f t="shared" si="141"/>
        <v>0</v>
      </c>
      <c r="AA153" s="101">
        <f t="shared" si="142"/>
        <v>0</v>
      </c>
      <c r="AB153" s="688">
        <f t="shared" si="143"/>
        <v>0</v>
      </c>
      <c r="AC153" s="689"/>
    </row>
    <row r="154" spans="3:29" x14ac:dyDescent="0.2">
      <c r="C154" s="95">
        <v>105</v>
      </c>
      <c r="D154" s="101" t="str">
        <f t="shared" si="128"/>
        <v>$0.00</v>
      </c>
      <c r="E154" s="101" t="str">
        <f t="shared" si="129"/>
        <v>$0.00</v>
      </c>
      <c r="F154" s="101" t="str">
        <f t="shared" si="130"/>
        <v>$0.00</v>
      </c>
      <c r="G154" s="688" t="str">
        <f t="shared" si="131"/>
        <v>$0.00</v>
      </c>
      <c r="H154" s="689"/>
      <c r="J154" s="95">
        <v>105</v>
      </c>
      <c r="K154" s="96">
        <f t="shared" si="132"/>
        <v>0</v>
      </c>
      <c r="L154" s="96">
        <f t="shared" si="133"/>
        <v>0</v>
      </c>
      <c r="M154" s="96">
        <f t="shared" si="134"/>
        <v>0</v>
      </c>
      <c r="N154" s="688">
        <f t="shared" si="135"/>
        <v>0</v>
      </c>
      <c r="O154" s="689"/>
      <c r="Q154" s="95">
        <v>105</v>
      </c>
      <c r="R154" s="101" t="str">
        <f t="shared" si="136"/>
        <v>$0.00</v>
      </c>
      <c r="S154" s="101" t="str">
        <f t="shared" si="137"/>
        <v>$0.00</v>
      </c>
      <c r="T154" s="101" t="str">
        <f t="shared" si="138"/>
        <v>$0.00</v>
      </c>
      <c r="U154" s="688" t="str">
        <f t="shared" si="139"/>
        <v>$0.00</v>
      </c>
      <c r="V154" s="689"/>
      <c r="X154" s="95">
        <v>105</v>
      </c>
      <c r="Y154" s="101" t="str">
        <f t="shared" si="140"/>
        <v>$0.00</v>
      </c>
      <c r="Z154" s="101" t="str">
        <f t="shared" si="141"/>
        <v>$0.00</v>
      </c>
      <c r="AA154" s="101" t="str">
        <f t="shared" si="142"/>
        <v>$0.00</v>
      </c>
      <c r="AB154" s="688" t="str">
        <f t="shared" si="143"/>
        <v>$0.00</v>
      </c>
      <c r="AC154" s="689"/>
    </row>
    <row r="155" spans="3:29" x14ac:dyDescent="0.2">
      <c r="C155" s="95">
        <v>106</v>
      </c>
      <c r="D155" s="101">
        <f t="shared" si="128"/>
        <v>0</v>
      </c>
      <c r="E155" s="101">
        <f t="shared" si="129"/>
        <v>0</v>
      </c>
      <c r="F155" s="101">
        <f t="shared" si="130"/>
        <v>0</v>
      </c>
      <c r="G155" s="688">
        <f t="shared" si="131"/>
        <v>0</v>
      </c>
      <c r="H155" s="689"/>
      <c r="J155" s="95">
        <v>106</v>
      </c>
      <c r="K155" s="96">
        <f t="shared" si="132"/>
        <v>0</v>
      </c>
      <c r="L155" s="96">
        <f t="shared" si="133"/>
        <v>0</v>
      </c>
      <c r="M155" s="96">
        <f t="shared" si="134"/>
        <v>0</v>
      </c>
      <c r="N155" s="688">
        <f t="shared" si="135"/>
        <v>0</v>
      </c>
      <c r="O155" s="689"/>
      <c r="Q155" s="95">
        <v>106</v>
      </c>
      <c r="R155" s="101">
        <f t="shared" si="136"/>
        <v>0</v>
      </c>
      <c r="S155" s="101">
        <f t="shared" si="137"/>
        <v>0</v>
      </c>
      <c r="T155" s="101">
        <f t="shared" si="138"/>
        <v>0</v>
      </c>
      <c r="U155" s="688">
        <f t="shared" si="139"/>
        <v>0</v>
      </c>
      <c r="V155" s="689"/>
      <c r="X155" s="95">
        <v>106</v>
      </c>
      <c r="Y155" s="101">
        <f t="shared" si="140"/>
        <v>0</v>
      </c>
      <c r="Z155" s="101">
        <f t="shared" si="141"/>
        <v>0</v>
      </c>
      <c r="AA155" s="101">
        <f t="shared" si="142"/>
        <v>0</v>
      </c>
      <c r="AB155" s="688">
        <f t="shared" si="143"/>
        <v>0</v>
      </c>
      <c r="AC155" s="689"/>
    </row>
    <row r="156" spans="3:29" x14ac:dyDescent="0.2">
      <c r="C156" s="95">
        <v>107</v>
      </c>
      <c r="D156" s="101" t="str">
        <f t="shared" si="128"/>
        <v>$0.00</v>
      </c>
      <c r="E156" s="101" t="str">
        <f t="shared" si="129"/>
        <v>$0.00</v>
      </c>
      <c r="F156" s="101" t="str">
        <f t="shared" si="130"/>
        <v>$0.00</v>
      </c>
      <c r="G156" s="688" t="str">
        <f t="shared" si="131"/>
        <v>$0.00</v>
      </c>
      <c r="H156" s="689"/>
      <c r="J156" s="95">
        <v>107</v>
      </c>
      <c r="K156" s="96">
        <f t="shared" si="132"/>
        <v>0</v>
      </c>
      <c r="L156" s="96">
        <f t="shared" si="133"/>
        <v>0</v>
      </c>
      <c r="M156" s="96">
        <f t="shared" si="134"/>
        <v>0</v>
      </c>
      <c r="N156" s="688">
        <f t="shared" si="135"/>
        <v>0</v>
      </c>
      <c r="O156" s="689"/>
      <c r="Q156" s="95">
        <v>107</v>
      </c>
      <c r="R156" s="101" t="str">
        <f t="shared" si="136"/>
        <v>$0.00</v>
      </c>
      <c r="S156" s="101" t="str">
        <f t="shared" si="137"/>
        <v>$0.00</v>
      </c>
      <c r="T156" s="101" t="str">
        <f t="shared" si="138"/>
        <v>$0.00</v>
      </c>
      <c r="U156" s="688" t="str">
        <f t="shared" si="139"/>
        <v>$0.00</v>
      </c>
      <c r="V156" s="689"/>
      <c r="X156" s="95">
        <v>107</v>
      </c>
      <c r="Y156" s="101" t="str">
        <f t="shared" si="140"/>
        <v>$0.00</v>
      </c>
      <c r="Z156" s="101" t="str">
        <f t="shared" si="141"/>
        <v>$0.00</v>
      </c>
      <c r="AA156" s="101" t="str">
        <f t="shared" si="142"/>
        <v>$0.00</v>
      </c>
      <c r="AB156" s="688" t="str">
        <f t="shared" si="143"/>
        <v>$0.00</v>
      </c>
      <c r="AC156" s="689"/>
    </row>
    <row r="157" spans="3:29" x14ac:dyDescent="0.2">
      <c r="C157" s="95">
        <v>108</v>
      </c>
      <c r="D157" s="101">
        <f t="shared" si="128"/>
        <v>0</v>
      </c>
      <c r="E157" s="101">
        <f t="shared" si="129"/>
        <v>0</v>
      </c>
      <c r="F157" s="101">
        <f t="shared" si="130"/>
        <v>0</v>
      </c>
      <c r="G157" s="690">
        <f t="shared" si="131"/>
        <v>0</v>
      </c>
      <c r="H157" s="691"/>
      <c r="J157" s="95">
        <v>108</v>
      </c>
      <c r="K157" s="96">
        <f t="shared" si="132"/>
        <v>0</v>
      </c>
      <c r="L157" s="96">
        <f t="shared" si="133"/>
        <v>0</v>
      </c>
      <c r="M157" s="96">
        <f t="shared" si="134"/>
        <v>0</v>
      </c>
      <c r="N157" s="690">
        <f t="shared" si="135"/>
        <v>0</v>
      </c>
      <c r="O157" s="691"/>
      <c r="Q157" s="95">
        <v>108</v>
      </c>
      <c r="R157" s="101">
        <f t="shared" si="136"/>
        <v>0</v>
      </c>
      <c r="S157" s="101">
        <f t="shared" si="137"/>
        <v>0</v>
      </c>
      <c r="T157" s="101">
        <f t="shared" si="138"/>
        <v>0</v>
      </c>
      <c r="U157" s="690">
        <f t="shared" si="139"/>
        <v>0</v>
      </c>
      <c r="V157" s="691"/>
      <c r="X157" s="95">
        <v>108</v>
      </c>
      <c r="Y157" s="101">
        <f t="shared" si="140"/>
        <v>0</v>
      </c>
      <c r="Z157" s="101">
        <f t="shared" si="141"/>
        <v>0</v>
      </c>
      <c r="AA157" s="101">
        <f t="shared" si="142"/>
        <v>0</v>
      </c>
      <c r="AB157" s="690">
        <f t="shared" si="143"/>
        <v>0</v>
      </c>
      <c r="AC157" s="691"/>
    </row>
    <row r="158" spans="3:29" x14ac:dyDescent="0.2">
      <c r="C158" s="97" t="s">
        <v>779</v>
      </c>
      <c r="D158" s="104">
        <f>SUM(D146:D157)</f>
        <v>0</v>
      </c>
      <c r="E158" s="104">
        <f>SUM(E146:E157)</f>
        <v>0</v>
      </c>
      <c r="F158" s="104">
        <f>SUM(F146:F157)</f>
        <v>0</v>
      </c>
      <c r="G158" s="692">
        <f>G157</f>
        <v>0</v>
      </c>
      <c r="H158" s="693"/>
      <c r="J158" s="97" t="s">
        <v>779</v>
      </c>
      <c r="K158" s="86">
        <f>SUM(K146:K157)</f>
        <v>0</v>
      </c>
      <c r="L158" s="86">
        <f>SUM(L146:L157)</f>
        <v>0</v>
      </c>
      <c r="M158" s="86">
        <f>SUM(M146:M157)</f>
        <v>0</v>
      </c>
      <c r="N158" s="692">
        <f>N157</f>
        <v>0</v>
      </c>
      <c r="O158" s="711"/>
      <c r="Q158" s="97" t="s">
        <v>779</v>
      </c>
      <c r="R158" s="104">
        <f>SUM(R146:R157)</f>
        <v>0</v>
      </c>
      <c r="S158" s="104">
        <f>SUM(S146:S157)</f>
        <v>0</v>
      </c>
      <c r="T158" s="104">
        <f>SUM(T146:T157)</f>
        <v>0</v>
      </c>
      <c r="U158" s="692">
        <f>U157</f>
        <v>0</v>
      </c>
      <c r="V158" s="693"/>
      <c r="X158" s="97" t="s">
        <v>779</v>
      </c>
      <c r="Y158" s="104">
        <f>SUM(Y146:Y157)</f>
        <v>0</v>
      </c>
      <c r="Z158" s="104">
        <f>SUM(Z146:Z157)</f>
        <v>0</v>
      </c>
      <c r="AA158" s="104">
        <f>SUM(AA146:AA157)</f>
        <v>0</v>
      </c>
      <c r="AB158" s="692">
        <f>AB157</f>
        <v>0</v>
      </c>
      <c r="AC158" s="693"/>
    </row>
    <row r="159" spans="3:29" x14ac:dyDescent="0.2">
      <c r="C159" s="95">
        <v>109</v>
      </c>
      <c r="D159" s="101" t="str">
        <f t="shared" ref="D159:D170" si="144">IF(G158&gt;0,G158*($E$36)/12,"$0.00")</f>
        <v>$0.00</v>
      </c>
      <c r="E159" s="101" t="str">
        <f t="shared" ref="E159:E170" si="145">IF(G158&gt;0,IF($E$38=4,"$0.00",IF($E$38=3,"$0.00",IF($E$38=2,"$0.00",+$G$39-D159))),"$0.00")</f>
        <v>$0.00</v>
      </c>
      <c r="F159" s="101" t="str">
        <f t="shared" ref="F159:F170" si="146">IF(G158=0,"$0.00",IF($E$38=4,"$0.00",IF($E$38=3,"$0.00",IF($E$38=2,D159,D159+E159))))</f>
        <v>$0.00</v>
      </c>
      <c r="G159" s="688" t="str">
        <f t="shared" ref="G159:G170" si="147">IF(G158=0,"$0.00",IF($E$38=4,G158+D159,IF($E$38=3,G158+D159,IF($E$38=2,G158,G158-E159))))</f>
        <v>$0.00</v>
      </c>
      <c r="H159" s="689"/>
      <c r="J159" s="95">
        <v>109</v>
      </c>
      <c r="K159" s="96">
        <f t="shared" ref="K159:K170" si="148">N158*($L$36)/12</f>
        <v>0</v>
      </c>
      <c r="L159" s="96">
        <f t="shared" ref="L159:L170" si="149">IF(L155=4,"$0.00",+$N$39-K159)</f>
        <v>0</v>
      </c>
      <c r="M159" s="96">
        <f t="shared" ref="M159:M170" si="150">IF(L155=4,"$0.00",K159+L159)</f>
        <v>0</v>
      </c>
      <c r="N159" s="709">
        <f t="shared" ref="N159:N170" si="151">IF(L155=4,N158+K159,N158-L159)</f>
        <v>0</v>
      </c>
      <c r="O159" s="710"/>
      <c r="Q159" s="95">
        <v>109</v>
      </c>
      <c r="R159" s="101" t="str">
        <f t="shared" ref="R159:R170" si="152">IF(U158&gt;0,U158*($S$36)/12,"$0.00")</f>
        <v>$0.00</v>
      </c>
      <c r="S159" s="101" t="str">
        <f t="shared" ref="S159:S170" si="153">IF(U158&gt;0,IF($S$38=4,"$0.00",IF($S$38=3,"$0.00",IF($S$38=2,"$0.00",+$U$39-R159))),"$0.00")</f>
        <v>$0.00</v>
      </c>
      <c r="T159" s="101" t="str">
        <f t="shared" ref="T159:T170" si="154">IF(U158=0,"$0.00",IF($S$38=4,"$0.00",IF($S$38=3,"$0.00",IF($S$38=2,R159,R159+S159))))</f>
        <v>$0.00</v>
      </c>
      <c r="U159" s="688" t="str">
        <f t="shared" ref="U159:U170" si="155">IF(U158=0,"$0.00",IF($S$38=4,U158+R159,IF($S$38=3,U158+R159,IF($S$38=2,U158,U158-S159))))</f>
        <v>$0.00</v>
      </c>
      <c r="V159" s="689"/>
      <c r="X159" s="95">
        <v>109</v>
      </c>
      <c r="Y159" s="101" t="str">
        <f t="shared" ref="Y159:Y170" si="156">IF(AB158&gt;0,AB158*($Z$36)/12,"$0.00")</f>
        <v>$0.00</v>
      </c>
      <c r="Z159" s="101" t="str">
        <f t="shared" ref="Z159:Z170" si="157">IF(AB158&gt;0,IF($Z$38=4,"$0.00",IF($Z$38=3,"$0.00",IF($Z$38=2,"$0.00",+$AB$39-Y159))),"$0.00")</f>
        <v>$0.00</v>
      </c>
      <c r="AA159" s="101" t="str">
        <f t="shared" ref="AA159:AA170" si="158">IF(AB158=0,"$0.00",IF($Z$38=4,"$0.00",IF($Z$38=3,"$0.00",IF($Z$38=2,Y159,Y159+Z159))))</f>
        <v>$0.00</v>
      </c>
      <c r="AB159" s="688" t="str">
        <f t="shared" ref="AB159:AB170" si="159">IF(AB158=0,"$0.00",IF($Z$38=4,AB158+Y159,IF($Z$38=3,AB158+Y159,IF($Z$38=2,AB158,AB158-Z159))))</f>
        <v>$0.00</v>
      </c>
      <c r="AC159" s="689"/>
    </row>
    <row r="160" spans="3:29" x14ac:dyDescent="0.2">
      <c r="C160" s="95">
        <v>110</v>
      </c>
      <c r="D160" s="101">
        <f t="shared" si="144"/>
        <v>0</v>
      </c>
      <c r="E160" s="101">
        <f t="shared" si="145"/>
        <v>0</v>
      </c>
      <c r="F160" s="101">
        <f t="shared" si="146"/>
        <v>0</v>
      </c>
      <c r="G160" s="688">
        <f t="shared" si="147"/>
        <v>0</v>
      </c>
      <c r="H160" s="689"/>
      <c r="J160" s="95">
        <v>110</v>
      </c>
      <c r="K160" s="96">
        <f t="shared" si="148"/>
        <v>0</v>
      </c>
      <c r="L160" s="96">
        <f t="shared" si="149"/>
        <v>0</v>
      </c>
      <c r="M160" s="96">
        <f t="shared" si="150"/>
        <v>0</v>
      </c>
      <c r="N160" s="688">
        <f t="shared" si="151"/>
        <v>0</v>
      </c>
      <c r="O160" s="689"/>
      <c r="Q160" s="95">
        <v>110</v>
      </c>
      <c r="R160" s="101">
        <f t="shared" si="152"/>
        <v>0</v>
      </c>
      <c r="S160" s="101">
        <f t="shared" si="153"/>
        <v>0</v>
      </c>
      <c r="T160" s="101">
        <f t="shared" si="154"/>
        <v>0</v>
      </c>
      <c r="U160" s="688">
        <f t="shared" si="155"/>
        <v>0</v>
      </c>
      <c r="V160" s="689"/>
      <c r="X160" s="95">
        <v>110</v>
      </c>
      <c r="Y160" s="101">
        <f t="shared" si="156"/>
        <v>0</v>
      </c>
      <c r="Z160" s="101">
        <f t="shared" si="157"/>
        <v>0</v>
      </c>
      <c r="AA160" s="101">
        <f t="shared" si="158"/>
        <v>0</v>
      </c>
      <c r="AB160" s="688">
        <f t="shared" si="159"/>
        <v>0</v>
      </c>
      <c r="AC160" s="689"/>
    </row>
    <row r="161" spans="3:29" x14ac:dyDescent="0.2">
      <c r="C161" s="95">
        <v>111</v>
      </c>
      <c r="D161" s="101" t="str">
        <f t="shared" si="144"/>
        <v>$0.00</v>
      </c>
      <c r="E161" s="101" t="str">
        <f t="shared" si="145"/>
        <v>$0.00</v>
      </c>
      <c r="F161" s="101" t="str">
        <f t="shared" si="146"/>
        <v>$0.00</v>
      </c>
      <c r="G161" s="688" t="str">
        <f t="shared" si="147"/>
        <v>$0.00</v>
      </c>
      <c r="H161" s="689"/>
      <c r="J161" s="95">
        <v>111</v>
      </c>
      <c r="K161" s="96">
        <f t="shared" si="148"/>
        <v>0</v>
      </c>
      <c r="L161" s="96">
        <f t="shared" si="149"/>
        <v>0</v>
      </c>
      <c r="M161" s="96">
        <f t="shared" si="150"/>
        <v>0</v>
      </c>
      <c r="N161" s="688">
        <f t="shared" si="151"/>
        <v>0</v>
      </c>
      <c r="O161" s="689"/>
      <c r="Q161" s="95">
        <v>111</v>
      </c>
      <c r="R161" s="101" t="str">
        <f t="shared" si="152"/>
        <v>$0.00</v>
      </c>
      <c r="S161" s="101" t="str">
        <f t="shared" si="153"/>
        <v>$0.00</v>
      </c>
      <c r="T161" s="101" t="str">
        <f t="shared" si="154"/>
        <v>$0.00</v>
      </c>
      <c r="U161" s="688" t="str">
        <f t="shared" si="155"/>
        <v>$0.00</v>
      </c>
      <c r="V161" s="689"/>
      <c r="X161" s="95">
        <v>111</v>
      </c>
      <c r="Y161" s="101" t="str">
        <f t="shared" si="156"/>
        <v>$0.00</v>
      </c>
      <c r="Z161" s="101" t="str">
        <f t="shared" si="157"/>
        <v>$0.00</v>
      </c>
      <c r="AA161" s="101" t="str">
        <f t="shared" si="158"/>
        <v>$0.00</v>
      </c>
      <c r="AB161" s="688" t="str">
        <f t="shared" si="159"/>
        <v>$0.00</v>
      </c>
      <c r="AC161" s="689"/>
    </row>
    <row r="162" spans="3:29" x14ac:dyDescent="0.2">
      <c r="C162" s="95">
        <v>112</v>
      </c>
      <c r="D162" s="101">
        <f t="shared" si="144"/>
        <v>0</v>
      </c>
      <c r="E162" s="101">
        <f t="shared" si="145"/>
        <v>0</v>
      </c>
      <c r="F162" s="101">
        <f t="shared" si="146"/>
        <v>0</v>
      </c>
      <c r="G162" s="688">
        <f t="shared" si="147"/>
        <v>0</v>
      </c>
      <c r="H162" s="689"/>
      <c r="J162" s="95">
        <v>112</v>
      </c>
      <c r="K162" s="96">
        <f t="shared" si="148"/>
        <v>0</v>
      </c>
      <c r="L162" s="96">
        <f t="shared" si="149"/>
        <v>0</v>
      </c>
      <c r="M162" s="96">
        <f t="shared" si="150"/>
        <v>0</v>
      </c>
      <c r="N162" s="688">
        <f t="shared" si="151"/>
        <v>0</v>
      </c>
      <c r="O162" s="689"/>
      <c r="Q162" s="95">
        <v>112</v>
      </c>
      <c r="R162" s="101">
        <f t="shared" si="152"/>
        <v>0</v>
      </c>
      <c r="S162" s="101">
        <f t="shared" si="153"/>
        <v>0</v>
      </c>
      <c r="T162" s="101">
        <f t="shared" si="154"/>
        <v>0</v>
      </c>
      <c r="U162" s="688">
        <f t="shared" si="155"/>
        <v>0</v>
      </c>
      <c r="V162" s="689"/>
      <c r="X162" s="95">
        <v>112</v>
      </c>
      <c r="Y162" s="101">
        <f t="shared" si="156"/>
        <v>0</v>
      </c>
      <c r="Z162" s="101">
        <f t="shared" si="157"/>
        <v>0</v>
      </c>
      <c r="AA162" s="101">
        <f t="shared" si="158"/>
        <v>0</v>
      </c>
      <c r="AB162" s="688">
        <f t="shared" si="159"/>
        <v>0</v>
      </c>
      <c r="AC162" s="689"/>
    </row>
    <row r="163" spans="3:29" x14ac:dyDescent="0.2">
      <c r="C163" s="95">
        <v>113</v>
      </c>
      <c r="D163" s="101" t="str">
        <f t="shared" si="144"/>
        <v>$0.00</v>
      </c>
      <c r="E163" s="101" t="str">
        <f t="shared" si="145"/>
        <v>$0.00</v>
      </c>
      <c r="F163" s="101" t="str">
        <f t="shared" si="146"/>
        <v>$0.00</v>
      </c>
      <c r="G163" s="688" t="str">
        <f t="shared" si="147"/>
        <v>$0.00</v>
      </c>
      <c r="H163" s="689"/>
      <c r="J163" s="95">
        <v>113</v>
      </c>
      <c r="K163" s="96">
        <f t="shared" si="148"/>
        <v>0</v>
      </c>
      <c r="L163" s="96">
        <f t="shared" si="149"/>
        <v>0</v>
      </c>
      <c r="M163" s="96">
        <f t="shared" si="150"/>
        <v>0</v>
      </c>
      <c r="N163" s="688">
        <f t="shared" si="151"/>
        <v>0</v>
      </c>
      <c r="O163" s="689"/>
      <c r="Q163" s="95">
        <v>113</v>
      </c>
      <c r="R163" s="101" t="str">
        <f t="shared" si="152"/>
        <v>$0.00</v>
      </c>
      <c r="S163" s="101" t="str">
        <f t="shared" si="153"/>
        <v>$0.00</v>
      </c>
      <c r="T163" s="101" t="str">
        <f t="shared" si="154"/>
        <v>$0.00</v>
      </c>
      <c r="U163" s="688" t="str">
        <f t="shared" si="155"/>
        <v>$0.00</v>
      </c>
      <c r="V163" s="689"/>
      <c r="X163" s="95">
        <v>113</v>
      </c>
      <c r="Y163" s="101" t="str">
        <f t="shared" si="156"/>
        <v>$0.00</v>
      </c>
      <c r="Z163" s="101" t="str">
        <f t="shared" si="157"/>
        <v>$0.00</v>
      </c>
      <c r="AA163" s="101" t="str">
        <f t="shared" si="158"/>
        <v>$0.00</v>
      </c>
      <c r="AB163" s="688" t="str">
        <f t="shared" si="159"/>
        <v>$0.00</v>
      </c>
      <c r="AC163" s="689"/>
    </row>
    <row r="164" spans="3:29" x14ac:dyDescent="0.2">
      <c r="C164" s="95">
        <v>114</v>
      </c>
      <c r="D164" s="101">
        <f t="shared" si="144"/>
        <v>0</v>
      </c>
      <c r="E164" s="101">
        <f t="shared" si="145"/>
        <v>0</v>
      </c>
      <c r="F164" s="101">
        <f t="shared" si="146"/>
        <v>0</v>
      </c>
      <c r="G164" s="688">
        <f t="shared" si="147"/>
        <v>0</v>
      </c>
      <c r="H164" s="689"/>
      <c r="J164" s="95">
        <v>114</v>
      </c>
      <c r="K164" s="96">
        <f t="shared" si="148"/>
        <v>0</v>
      </c>
      <c r="L164" s="96">
        <f t="shared" si="149"/>
        <v>0</v>
      </c>
      <c r="M164" s="96">
        <f t="shared" si="150"/>
        <v>0</v>
      </c>
      <c r="N164" s="688">
        <f t="shared" si="151"/>
        <v>0</v>
      </c>
      <c r="O164" s="689"/>
      <c r="Q164" s="95">
        <v>114</v>
      </c>
      <c r="R164" s="101">
        <f t="shared" si="152"/>
        <v>0</v>
      </c>
      <c r="S164" s="101">
        <f t="shared" si="153"/>
        <v>0</v>
      </c>
      <c r="T164" s="101">
        <f t="shared" si="154"/>
        <v>0</v>
      </c>
      <c r="U164" s="688">
        <f t="shared" si="155"/>
        <v>0</v>
      </c>
      <c r="V164" s="689"/>
      <c r="X164" s="95">
        <v>114</v>
      </c>
      <c r="Y164" s="101">
        <f t="shared" si="156"/>
        <v>0</v>
      </c>
      <c r="Z164" s="101">
        <f t="shared" si="157"/>
        <v>0</v>
      </c>
      <c r="AA164" s="101">
        <f t="shared" si="158"/>
        <v>0</v>
      </c>
      <c r="AB164" s="688">
        <f t="shared" si="159"/>
        <v>0</v>
      </c>
      <c r="AC164" s="689"/>
    </row>
    <row r="165" spans="3:29" x14ac:dyDescent="0.2">
      <c r="C165" s="95">
        <v>115</v>
      </c>
      <c r="D165" s="101" t="str">
        <f t="shared" si="144"/>
        <v>$0.00</v>
      </c>
      <c r="E165" s="101" t="str">
        <f t="shared" si="145"/>
        <v>$0.00</v>
      </c>
      <c r="F165" s="101" t="str">
        <f t="shared" si="146"/>
        <v>$0.00</v>
      </c>
      <c r="G165" s="688" t="str">
        <f t="shared" si="147"/>
        <v>$0.00</v>
      </c>
      <c r="H165" s="689"/>
      <c r="J165" s="95">
        <v>115</v>
      </c>
      <c r="K165" s="96">
        <f t="shared" si="148"/>
        <v>0</v>
      </c>
      <c r="L165" s="96">
        <f t="shared" si="149"/>
        <v>0</v>
      </c>
      <c r="M165" s="96">
        <f t="shared" si="150"/>
        <v>0</v>
      </c>
      <c r="N165" s="688">
        <f t="shared" si="151"/>
        <v>0</v>
      </c>
      <c r="O165" s="689"/>
      <c r="Q165" s="95">
        <v>115</v>
      </c>
      <c r="R165" s="101" t="str">
        <f t="shared" si="152"/>
        <v>$0.00</v>
      </c>
      <c r="S165" s="101" t="str">
        <f t="shared" si="153"/>
        <v>$0.00</v>
      </c>
      <c r="T165" s="101" t="str">
        <f t="shared" si="154"/>
        <v>$0.00</v>
      </c>
      <c r="U165" s="688" t="str">
        <f t="shared" si="155"/>
        <v>$0.00</v>
      </c>
      <c r="V165" s="689"/>
      <c r="X165" s="95">
        <v>115</v>
      </c>
      <c r="Y165" s="101" t="str">
        <f t="shared" si="156"/>
        <v>$0.00</v>
      </c>
      <c r="Z165" s="101" t="str">
        <f t="shared" si="157"/>
        <v>$0.00</v>
      </c>
      <c r="AA165" s="101" t="str">
        <f t="shared" si="158"/>
        <v>$0.00</v>
      </c>
      <c r="AB165" s="688" t="str">
        <f t="shared" si="159"/>
        <v>$0.00</v>
      </c>
      <c r="AC165" s="689"/>
    </row>
    <row r="166" spans="3:29" x14ac:dyDescent="0.2">
      <c r="C166" s="95">
        <v>116</v>
      </c>
      <c r="D166" s="101">
        <f t="shared" si="144"/>
        <v>0</v>
      </c>
      <c r="E166" s="101">
        <f t="shared" si="145"/>
        <v>0</v>
      </c>
      <c r="F166" s="101">
        <f t="shared" si="146"/>
        <v>0</v>
      </c>
      <c r="G166" s="688">
        <f t="shared" si="147"/>
        <v>0</v>
      </c>
      <c r="H166" s="689"/>
      <c r="J166" s="95">
        <v>116</v>
      </c>
      <c r="K166" s="96">
        <f t="shared" si="148"/>
        <v>0</v>
      </c>
      <c r="L166" s="96">
        <f t="shared" si="149"/>
        <v>0</v>
      </c>
      <c r="M166" s="96">
        <f t="shared" si="150"/>
        <v>0</v>
      </c>
      <c r="N166" s="688">
        <f t="shared" si="151"/>
        <v>0</v>
      </c>
      <c r="O166" s="689"/>
      <c r="Q166" s="95">
        <v>116</v>
      </c>
      <c r="R166" s="101">
        <f t="shared" si="152"/>
        <v>0</v>
      </c>
      <c r="S166" s="101">
        <f t="shared" si="153"/>
        <v>0</v>
      </c>
      <c r="T166" s="101">
        <f t="shared" si="154"/>
        <v>0</v>
      </c>
      <c r="U166" s="688">
        <f t="shared" si="155"/>
        <v>0</v>
      </c>
      <c r="V166" s="689"/>
      <c r="X166" s="95">
        <v>116</v>
      </c>
      <c r="Y166" s="101">
        <f t="shared" si="156"/>
        <v>0</v>
      </c>
      <c r="Z166" s="101">
        <f t="shared" si="157"/>
        <v>0</v>
      </c>
      <c r="AA166" s="101">
        <f t="shared" si="158"/>
        <v>0</v>
      </c>
      <c r="AB166" s="688">
        <f t="shared" si="159"/>
        <v>0</v>
      </c>
      <c r="AC166" s="689"/>
    </row>
    <row r="167" spans="3:29" x14ac:dyDescent="0.2">
      <c r="C167" s="95">
        <v>117</v>
      </c>
      <c r="D167" s="101" t="str">
        <f t="shared" si="144"/>
        <v>$0.00</v>
      </c>
      <c r="E167" s="101" t="str">
        <f t="shared" si="145"/>
        <v>$0.00</v>
      </c>
      <c r="F167" s="101" t="str">
        <f t="shared" si="146"/>
        <v>$0.00</v>
      </c>
      <c r="G167" s="688" t="str">
        <f t="shared" si="147"/>
        <v>$0.00</v>
      </c>
      <c r="H167" s="689"/>
      <c r="J167" s="95">
        <v>117</v>
      </c>
      <c r="K167" s="96">
        <f t="shared" si="148"/>
        <v>0</v>
      </c>
      <c r="L167" s="96">
        <f t="shared" si="149"/>
        <v>0</v>
      </c>
      <c r="M167" s="96">
        <f t="shared" si="150"/>
        <v>0</v>
      </c>
      <c r="N167" s="688">
        <f t="shared" si="151"/>
        <v>0</v>
      </c>
      <c r="O167" s="689"/>
      <c r="Q167" s="95">
        <v>117</v>
      </c>
      <c r="R167" s="101" t="str">
        <f t="shared" si="152"/>
        <v>$0.00</v>
      </c>
      <c r="S167" s="101" t="str">
        <f t="shared" si="153"/>
        <v>$0.00</v>
      </c>
      <c r="T167" s="101" t="str">
        <f t="shared" si="154"/>
        <v>$0.00</v>
      </c>
      <c r="U167" s="688" t="str">
        <f t="shared" si="155"/>
        <v>$0.00</v>
      </c>
      <c r="V167" s="689"/>
      <c r="X167" s="95">
        <v>117</v>
      </c>
      <c r="Y167" s="101" t="str">
        <f t="shared" si="156"/>
        <v>$0.00</v>
      </c>
      <c r="Z167" s="101" t="str">
        <f t="shared" si="157"/>
        <v>$0.00</v>
      </c>
      <c r="AA167" s="101" t="str">
        <f t="shared" si="158"/>
        <v>$0.00</v>
      </c>
      <c r="AB167" s="688" t="str">
        <f t="shared" si="159"/>
        <v>$0.00</v>
      </c>
      <c r="AC167" s="689"/>
    </row>
    <row r="168" spans="3:29" x14ac:dyDescent="0.2">
      <c r="C168" s="95">
        <v>118</v>
      </c>
      <c r="D168" s="101">
        <f t="shared" si="144"/>
        <v>0</v>
      </c>
      <c r="E168" s="101">
        <f t="shared" si="145"/>
        <v>0</v>
      </c>
      <c r="F168" s="101">
        <f t="shared" si="146"/>
        <v>0</v>
      </c>
      <c r="G168" s="688">
        <f t="shared" si="147"/>
        <v>0</v>
      </c>
      <c r="H168" s="689"/>
      <c r="J168" s="95">
        <v>118</v>
      </c>
      <c r="K168" s="96">
        <f t="shared" si="148"/>
        <v>0</v>
      </c>
      <c r="L168" s="96">
        <f t="shared" si="149"/>
        <v>0</v>
      </c>
      <c r="M168" s="96">
        <f t="shared" si="150"/>
        <v>0</v>
      </c>
      <c r="N168" s="688">
        <f t="shared" si="151"/>
        <v>0</v>
      </c>
      <c r="O168" s="689"/>
      <c r="Q168" s="95">
        <v>118</v>
      </c>
      <c r="R168" s="101">
        <f t="shared" si="152"/>
        <v>0</v>
      </c>
      <c r="S168" s="101">
        <f t="shared" si="153"/>
        <v>0</v>
      </c>
      <c r="T168" s="101">
        <f t="shared" si="154"/>
        <v>0</v>
      </c>
      <c r="U168" s="688">
        <f t="shared" si="155"/>
        <v>0</v>
      </c>
      <c r="V168" s="689"/>
      <c r="X168" s="95">
        <v>118</v>
      </c>
      <c r="Y168" s="101">
        <f t="shared" si="156"/>
        <v>0</v>
      </c>
      <c r="Z168" s="101">
        <f t="shared" si="157"/>
        <v>0</v>
      </c>
      <c r="AA168" s="101">
        <f t="shared" si="158"/>
        <v>0</v>
      </c>
      <c r="AB168" s="688">
        <f t="shared" si="159"/>
        <v>0</v>
      </c>
      <c r="AC168" s="689"/>
    </row>
    <row r="169" spans="3:29" x14ac:dyDescent="0.2">
      <c r="C169" s="95">
        <v>119</v>
      </c>
      <c r="D169" s="101" t="str">
        <f t="shared" si="144"/>
        <v>$0.00</v>
      </c>
      <c r="E169" s="101" t="str">
        <f t="shared" si="145"/>
        <v>$0.00</v>
      </c>
      <c r="F169" s="101" t="str">
        <f t="shared" si="146"/>
        <v>$0.00</v>
      </c>
      <c r="G169" s="688" t="str">
        <f t="shared" si="147"/>
        <v>$0.00</v>
      </c>
      <c r="H169" s="689"/>
      <c r="J169" s="95">
        <v>119</v>
      </c>
      <c r="K169" s="96">
        <f t="shared" si="148"/>
        <v>0</v>
      </c>
      <c r="L169" s="96">
        <f t="shared" si="149"/>
        <v>0</v>
      </c>
      <c r="M169" s="96">
        <f t="shared" si="150"/>
        <v>0</v>
      </c>
      <c r="N169" s="688">
        <f t="shared" si="151"/>
        <v>0</v>
      </c>
      <c r="O169" s="689"/>
      <c r="Q169" s="95">
        <v>119</v>
      </c>
      <c r="R169" s="101" t="str">
        <f t="shared" si="152"/>
        <v>$0.00</v>
      </c>
      <c r="S169" s="101" t="str">
        <f t="shared" si="153"/>
        <v>$0.00</v>
      </c>
      <c r="T169" s="101" t="str">
        <f t="shared" si="154"/>
        <v>$0.00</v>
      </c>
      <c r="U169" s="688" t="str">
        <f t="shared" si="155"/>
        <v>$0.00</v>
      </c>
      <c r="V169" s="689"/>
      <c r="X169" s="95">
        <v>119</v>
      </c>
      <c r="Y169" s="101" t="str">
        <f t="shared" si="156"/>
        <v>$0.00</v>
      </c>
      <c r="Z169" s="101" t="str">
        <f t="shared" si="157"/>
        <v>$0.00</v>
      </c>
      <c r="AA169" s="101" t="str">
        <f t="shared" si="158"/>
        <v>$0.00</v>
      </c>
      <c r="AB169" s="688" t="str">
        <f t="shared" si="159"/>
        <v>$0.00</v>
      </c>
      <c r="AC169" s="689"/>
    </row>
    <row r="170" spans="3:29" x14ac:dyDescent="0.2">
      <c r="C170" s="95">
        <v>120</v>
      </c>
      <c r="D170" s="101">
        <f t="shared" si="144"/>
        <v>0</v>
      </c>
      <c r="E170" s="101">
        <f t="shared" si="145"/>
        <v>0</v>
      </c>
      <c r="F170" s="101">
        <f t="shared" si="146"/>
        <v>0</v>
      </c>
      <c r="G170" s="690">
        <f t="shared" si="147"/>
        <v>0</v>
      </c>
      <c r="H170" s="691"/>
      <c r="J170" s="95">
        <v>120</v>
      </c>
      <c r="K170" s="96">
        <f t="shared" si="148"/>
        <v>0</v>
      </c>
      <c r="L170" s="96">
        <f t="shared" si="149"/>
        <v>0</v>
      </c>
      <c r="M170" s="96">
        <f t="shared" si="150"/>
        <v>0</v>
      </c>
      <c r="N170" s="690">
        <f t="shared" si="151"/>
        <v>0</v>
      </c>
      <c r="O170" s="691"/>
      <c r="Q170" s="95">
        <v>120</v>
      </c>
      <c r="R170" s="101">
        <f t="shared" si="152"/>
        <v>0</v>
      </c>
      <c r="S170" s="101">
        <f t="shared" si="153"/>
        <v>0</v>
      </c>
      <c r="T170" s="101">
        <f t="shared" si="154"/>
        <v>0</v>
      </c>
      <c r="U170" s="690">
        <f t="shared" si="155"/>
        <v>0</v>
      </c>
      <c r="V170" s="691"/>
      <c r="X170" s="95">
        <v>120</v>
      </c>
      <c r="Y170" s="101">
        <f t="shared" si="156"/>
        <v>0</v>
      </c>
      <c r="Z170" s="101">
        <f t="shared" si="157"/>
        <v>0</v>
      </c>
      <c r="AA170" s="101">
        <f t="shared" si="158"/>
        <v>0</v>
      </c>
      <c r="AB170" s="690">
        <f t="shared" si="159"/>
        <v>0</v>
      </c>
      <c r="AC170" s="691"/>
    </row>
    <row r="171" spans="3:29" x14ac:dyDescent="0.2">
      <c r="C171" s="97" t="s">
        <v>780</v>
      </c>
      <c r="D171" s="104">
        <f>SUM(D159:D170)</f>
        <v>0</v>
      </c>
      <c r="E171" s="104">
        <f>SUM(E159:E170)</f>
        <v>0</v>
      </c>
      <c r="F171" s="104">
        <f>SUM(F159:F170)</f>
        <v>0</v>
      </c>
      <c r="G171" s="692">
        <f>G170</f>
        <v>0</v>
      </c>
      <c r="H171" s="693"/>
      <c r="J171" s="97" t="s">
        <v>780</v>
      </c>
      <c r="K171" s="86">
        <f>SUM(K159:K170)</f>
        <v>0</v>
      </c>
      <c r="L171" s="86">
        <f>SUM(L159:L170)</f>
        <v>0</v>
      </c>
      <c r="M171" s="86">
        <f>SUM(M159:M170)</f>
        <v>0</v>
      </c>
      <c r="N171" s="692">
        <f>N170</f>
        <v>0</v>
      </c>
      <c r="O171" s="711"/>
      <c r="Q171" s="97" t="s">
        <v>780</v>
      </c>
      <c r="R171" s="104">
        <f>SUM(R159:R170)</f>
        <v>0</v>
      </c>
      <c r="S171" s="104">
        <f>SUM(S159:S170)</f>
        <v>0</v>
      </c>
      <c r="T171" s="104">
        <f>SUM(T159:T170)</f>
        <v>0</v>
      </c>
      <c r="U171" s="692">
        <f>U170</f>
        <v>0</v>
      </c>
      <c r="V171" s="693"/>
      <c r="X171" s="97" t="s">
        <v>780</v>
      </c>
      <c r="Y171" s="104">
        <f>SUM(Y159:Y170)</f>
        <v>0</v>
      </c>
      <c r="Z171" s="104">
        <f>SUM(Z159:Z170)</f>
        <v>0</v>
      </c>
      <c r="AA171" s="104">
        <f>SUM(AA159:AA170)</f>
        <v>0</v>
      </c>
      <c r="AB171" s="692">
        <f>AB170</f>
        <v>0</v>
      </c>
      <c r="AC171" s="693"/>
    </row>
    <row r="172" spans="3:29" x14ac:dyDescent="0.2">
      <c r="C172" s="95">
        <v>121</v>
      </c>
      <c r="D172" s="101" t="str">
        <f t="shared" ref="D172:D183" si="160">IF(G171&gt;0,G171*($E$36)/12,"$0.00")</f>
        <v>$0.00</v>
      </c>
      <c r="E172" s="101" t="str">
        <f t="shared" ref="E172:E183" si="161">IF(G171&gt;0,IF($E$38=4,"$0.00",IF($E$38=3,"$0.00",IF($E$38=2,"$0.00",+$G$39-D172))),"$0.00")</f>
        <v>$0.00</v>
      </c>
      <c r="F172" s="101" t="str">
        <f t="shared" ref="F172:F183" si="162">IF(G171=0,"$0.00",IF($E$38=4,"$0.00",IF($E$38=3,"$0.00",IF($E$38=2,D172,D172+E172))))</f>
        <v>$0.00</v>
      </c>
      <c r="G172" s="688" t="str">
        <f t="shared" ref="G172:G183" si="163">IF(G171=0,"$0.00",IF($E$38=4,G171+D172,IF($E$38=3,G171+D172,IF($E$38=2,G171,G171-E172))))</f>
        <v>$0.00</v>
      </c>
      <c r="H172" s="689"/>
      <c r="J172" s="95">
        <v>121</v>
      </c>
      <c r="K172" s="96">
        <f t="shared" ref="K172:K183" si="164">N171*($L$36)/12</f>
        <v>0</v>
      </c>
      <c r="L172" s="96">
        <f t="shared" ref="L172:L183" si="165">IF(L168=4,"$0.00",+$N$39-K172)</f>
        <v>0</v>
      </c>
      <c r="M172" s="96">
        <f t="shared" ref="M172:M183" si="166">IF(L168=4,"$0.00",K172+L172)</f>
        <v>0</v>
      </c>
      <c r="N172" s="709">
        <f t="shared" ref="N172:N183" si="167">IF(L168=4,N171+K172,N171-L172)</f>
        <v>0</v>
      </c>
      <c r="O172" s="710"/>
      <c r="Q172" s="95">
        <v>121</v>
      </c>
      <c r="R172" s="101" t="str">
        <f t="shared" ref="R172:R183" si="168">IF(U171&gt;0,U171*($S$36)/12,"$0.00")</f>
        <v>$0.00</v>
      </c>
      <c r="S172" s="101" t="str">
        <f t="shared" ref="S172:S183" si="169">IF(U171&gt;0,IF($S$38=4,"$0.00",IF($S$38=3,"$0.00",IF($S$38=2,"$0.00",+$U$39-R172))),"$0.00")</f>
        <v>$0.00</v>
      </c>
      <c r="T172" s="101" t="str">
        <f t="shared" ref="T172:T183" si="170">IF(U171=0,"$0.00",IF($S$38=4,"$0.00",IF($S$38=3,"$0.00",IF($S$38=2,R172,R172+S172))))</f>
        <v>$0.00</v>
      </c>
      <c r="U172" s="688" t="str">
        <f t="shared" ref="U172:U183" si="171">IF(U171=0,"$0.00",IF($S$38=4,U171+R172,IF($S$38=3,U171+R172,IF($S$38=2,U171,U171-S172))))</f>
        <v>$0.00</v>
      </c>
      <c r="V172" s="689"/>
      <c r="X172" s="95">
        <v>121</v>
      </c>
      <c r="Y172" s="101" t="str">
        <f t="shared" ref="Y172:Y183" si="172">IF(AB171&gt;0,AB171*($Z$36)/12,"$0.00")</f>
        <v>$0.00</v>
      </c>
      <c r="Z172" s="101" t="str">
        <f t="shared" ref="Z172:Z183" si="173">IF(AB171&gt;0,IF($Z$38=4,"$0.00",IF($Z$38=3,"$0.00",IF($Z$38=2,"$0.00",+$AB$39-Y172))),"$0.00")</f>
        <v>$0.00</v>
      </c>
      <c r="AA172" s="101" t="str">
        <f t="shared" ref="AA172:AA183" si="174">IF(AB171=0,"$0.00",IF($Z$38=4,"$0.00",IF($Z$38=3,"$0.00",IF($Z$38=2,Y172,Y172+Z172))))</f>
        <v>$0.00</v>
      </c>
      <c r="AB172" s="688" t="str">
        <f t="shared" ref="AB172:AB183" si="175">IF(AB171=0,"$0.00",IF($Z$38=4,AB171+Y172,IF($Z$38=3,AB171+Y172,IF($Z$38=2,AB171,AB171-Z172))))</f>
        <v>$0.00</v>
      </c>
      <c r="AC172" s="689"/>
    </row>
    <row r="173" spans="3:29" x14ac:dyDescent="0.2">
      <c r="C173" s="95">
        <v>122</v>
      </c>
      <c r="D173" s="101">
        <f t="shared" si="160"/>
        <v>0</v>
      </c>
      <c r="E173" s="101">
        <f t="shared" si="161"/>
        <v>0</v>
      </c>
      <c r="F173" s="101">
        <f t="shared" si="162"/>
        <v>0</v>
      </c>
      <c r="G173" s="688">
        <f t="shared" si="163"/>
        <v>0</v>
      </c>
      <c r="H173" s="689"/>
      <c r="J173" s="95">
        <v>122</v>
      </c>
      <c r="K173" s="96">
        <f t="shared" si="164"/>
        <v>0</v>
      </c>
      <c r="L173" s="96">
        <f t="shared" si="165"/>
        <v>0</v>
      </c>
      <c r="M173" s="96">
        <f t="shared" si="166"/>
        <v>0</v>
      </c>
      <c r="N173" s="688">
        <f t="shared" si="167"/>
        <v>0</v>
      </c>
      <c r="O173" s="689"/>
      <c r="Q173" s="95">
        <v>122</v>
      </c>
      <c r="R173" s="101">
        <f t="shared" si="168"/>
        <v>0</v>
      </c>
      <c r="S173" s="101">
        <f t="shared" si="169"/>
        <v>0</v>
      </c>
      <c r="T173" s="101">
        <f t="shared" si="170"/>
        <v>0</v>
      </c>
      <c r="U173" s="688">
        <f t="shared" si="171"/>
        <v>0</v>
      </c>
      <c r="V173" s="689"/>
      <c r="X173" s="95">
        <v>122</v>
      </c>
      <c r="Y173" s="101">
        <f t="shared" si="172"/>
        <v>0</v>
      </c>
      <c r="Z173" s="101">
        <f t="shared" si="173"/>
        <v>0</v>
      </c>
      <c r="AA173" s="101">
        <f t="shared" si="174"/>
        <v>0</v>
      </c>
      <c r="AB173" s="688">
        <f t="shared" si="175"/>
        <v>0</v>
      </c>
      <c r="AC173" s="689"/>
    </row>
    <row r="174" spans="3:29" x14ac:dyDescent="0.2">
      <c r="C174" s="95">
        <v>123</v>
      </c>
      <c r="D174" s="101" t="str">
        <f t="shared" si="160"/>
        <v>$0.00</v>
      </c>
      <c r="E174" s="101" t="str">
        <f t="shared" si="161"/>
        <v>$0.00</v>
      </c>
      <c r="F174" s="101" t="str">
        <f t="shared" si="162"/>
        <v>$0.00</v>
      </c>
      <c r="G174" s="688" t="str">
        <f t="shared" si="163"/>
        <v>$0.00</v>
      </c>
      <c r="H174" s="689"/>
      <c r="J174" s="95">
        <v>123</v>
      </c>
      <c r="K174" s="96">
        <f t="shared" si="164"/>
        <v>0</v>
      </c>
      <c r="L174" s="96">
        <f t="shared" si="165"/>
        <v>0</v>
      </c>
      <c r="M174" s="96">
        <f t="shared" si="166"/>
        <v>0</v>
      </c>
      <c r="N174" s="688">
        <f t="shared" si="167"/>
        <v>0</v>
      </c>
      <c r="O174" s="689"/>
      <c r="Q174" s="95">
        <v>123</v>
      </c>
      <c r="R174" s="101" t="str">
        <f t="shared" si="168"/>
        <v>$0.00</v>
      </c>
      <c r="S174" s="101" t="str">
        <f t="shared" si="169"/>
        <v>$0.00</v>
      </c>
      <c r="T174" s="101" t="str">
        <f t="shared" si="170"/>
        <v>$0.00</v>
      </c>
      <c r="U174" s="688" t="str">
        <f t="shared" si="171"/>
        <v>$0.00</v>
      </c>
      <c r="V174" s="689"/>
      <c r="X174" s="95">
        <v>123</v>
      </c>
      <c r="Y174" s="101" t="str">
        <f t="shared" si="172"/>
        <v>$0.00</v>
      </c>
      <c r="Z174" s="101" t="str">
        <f t="shared" si="173"/>
        <v>$0.00</v>
      </c>
      <c r="AA174" s="101" t="str">
        <f t="shared" si="174"/>
        <v>$0.00</v>
      </c>
      <c r="AB174" s="688" t="str">
        <f t="shared" si="175"/>
        <v>$0.00</v>
      </c>
      <c r="AC174" s="689"/>
    </row>
    <row r="175" spans="3:29" x14ac:dyDescent="0.2">
      <c r="C175" s="95">
        <v>124</v>
      </c>
      <c r="D175" s="101">
        <f t="shared" si="160"/>
        <v>0</v>
      </c>
      <c r="E175" s="101">
        <f t="shared" si="161"/>
        <v>0</v>
      </c>
      <c r="F175" s="101">
        <f t="shared" si="162"/>
        <v>0</v>
      </c>
      <c r="G175" s="688">
        <f t="shared" si="163"/>
        <v>0</v>
      </c>
      <c r="H175" s="689"/>
      <c r="J175" s="95">
        <v>124</v>
      </c>
      <c r="K175" s="96">
        <f t="shared" si="164"/>
        <v>0</v>
      </c>
      <c r="L175" s="96">
        <f t="shared" si="165"/>
        <v>0</v>
      </c>
      <c r="M175" s="96">
        <f t="shared" si="166"/>
        <v>0</v>
      </c>
      <c r="N175" s="688">
        <f t="shared" si="167"/>
        <v>0</v>
      </c>
      <c r="O175" s="689"/>
      <c r="Q175" s="95">
        <v>124</v>
      </c>
      <c r="R175" s="101">
        <f t="shared" si="168"/>
        <v>0</v>
      </c>
      <c r="S175" s="101">
        <f t="shared" si="169"/>
        <v>0</v>
      </c>
      <c r="T175" s="101">
        <f t="shared" si="170"/>
        <v>0</v>
      </c>
      <c r="U175" s="688">
        <f t="shared" si="171"/>
        <v>0</v>
      </c>
      <c r="V175" s="689"/>
      <c r="X175" s="95">
        <v>124</v>
      </c>
      <c r="Y175" s="101">
        <f t="shared" si="172"/>
        <v>0</v>
      </c>
      <c r="Z175" s="101">
        <f t="shared" si="173"/>
        <v>0</v>
      </c>
      <c r="AA175" s="101">
        <f t="shared" si="174"/>
        <v>0</v>
      </c>
      <c r="AB175" s="688">
        <f t="shared" si="175"/>
        <v>0</v>
      </c>
      <c r="AC175" s="689"/>
    </row>
    <row r="176" spans="3:29" x14ac:dyDescent="0.2">
      <c r="C176" s="95">
        <v>125</v>
      </c>
      <c r="D176" s="101" t="str">
        <f t="shared" si="160"/>
        <v>$0.00</v>
      </c>
      <c r="E176" s="101" t="str">
        <f t="shared" si="161"/>
        <v>$0.00</v>
      </c>
      <c r="F176" s="101" t="str">
        <f t="shared" si="162"/>
        <v>$0.00</v>
      </c>
      <c r="G176" s="688" t="str">
        <f t="shared" si="163"/>
        <v>$0.00</v>
      </c>
      <c r="H176" s="689"/>
      <c r="J176" s="95">
        <v>125</v>
      </c>
      <c r="K176" s="96">
        <f t="shared" si="164"/>
        <v>0</v>
      </c>
      <c r="L176" s="96">
        <f t="shared" si="165"/>
        <v>0</v>
      </c>
      <c r="M176" s="96">
        <f t="shared" si="166"/>
        <v>0</v>
      </c>
      <c r="N176" s="688">
        <f t="shared" si="167"/>
        <v>0</v>
      </c>
      <c r="O176" s="689"/>
      <c r="Q176" s="95">
        <v>125</v>
      </c>
      <c r="R176" s="101" t="str">
        <f t="shared" si="168"/>
        <v>$0.00</v>
      </c>
      <c r="S176" s="101" t="str">
        <f t="shared" si="169"/>
        <v>$0.00</v>
      </c>
      <c r="T176" s="101" t="str">
        <f t="shared" si="170"/>
        <v>$0.00</v>
      </c>
      <c r="U176" s="688" t="str">
        <f t="shared" si="171"/>
        <v>$0.00</v>
      </c>
      <c r="V176" s="689"/>
      <c r="X176" s="95">
        <v>125</v>
      </c>
      <c r="Y176" s="101" t="str">
        <f t="shared" si="172"/>
        <v>$0.00</v>
      </c>
      <c r="Z176" s="101" t="str">
        <f t="shared" si="173"/>
        <v>$0.00</v>
      </c>
      <c r="AA176" s="101" t="str">
        <f t="shared" si="174"/>
        <v>$0.00</v>
      </c>
      <c r="AB176" s="688" t="str">
        <f t="shared" si="175"/>
        <v>$0.00</v>
      </c>
      <c r="AC176" s="689"/>
    </row>
    <row r="177" spans="3:29" x14ac:dyDescent="0.2">
      <c r="C177" s="95">
        <v>126</v>
      </c>
      <c r="D177" s="101">
        <f t="shared" si="160"/>
        <v>0</v>
      </c>
      <c r="E177" s="101">
        <f t="shared" si="161"/>
        <v>0</v>
      </c>
      <c r="F177" s="101">
        <f t="shared" si="162"/>
        <v>0</v>
      </c>
      <c r="G177" s="688">
        <f t="shared" si="163"/>
        <v>0</v>
      </c>
      <c r="H177" s="689"/>
      <c r="J177" s="95">
        <v>126</v>
      </c>
      <c r="K177" s="96">
        <f t="shared" si="164"/>
        <v>0</v>
      </c>
      <c r="L177" s="96">
        <f t="shared" si="165"/>
        <v>0</v>
      </c>
      <c r="M177" s="96">
        <f t="shared" si="166"/>
        <v>0</v>
      </c>
      <c r="N177" s="688">
        <f t="shared" si="167"/>
        <v>0</v>
      </c>
      <c r="O177" s="689"/>
      <c r="Q177" s="95">
        <v>126</v>
      </c>
      <c r="R177" s="101">
        <f t="shared" si="168"/>
        <v>0</v>
      </c>
      <c r="S177" s="101">
        <f t="shared" si="169"/>
        <v>0</v>
      </c>
      <c r="T177" s="101">
        <f t="shared" si="170"/>
        <v>0</v>
      </c>
      <c r="U177" s="688">
        <f t="shared" si="171"/>
        <v>0</v>
      </c>
      <c r="V177" s="689"/>
      <c r="X177" s="95">
        <v>126</v>
      </c>
      <c r="Y177" s="101">
        <f t="shared" si="172"/>
        <v>0</v>
      </c>
      <c r="Z177" s="101">
        <f t="shared" si="173"/>
        <v>0</v>
      </c>
      <c r="AA177" s="101">
        <f t="shared" si="174"/>
        <v>0</v>
      </c>
      <c r="AB177" s="688">
        <f t="shared" si="175"/>
        <v>0</v>
      </c>
      <c r="AC177" s="689"/>
    </row>
    <row r="178" spans="3:29" x14ac:dyDescent="0.2">
      <c r="C178" s="95">
        <v>127</v>
      </c>
      <c r="D178" s="101" t="str">
        <f t="shared" si="160"/>
        <v>$0.00</v>
      </c>
      <c r="E178" s="101" t="str">
        <f t="shared" si="161"/>
        <v>$0.00</v>
      </c>
      <c r="F178" s="101" t="str">
        <f t="shared" si="162"/>
        <v>$0.00</v>
      </c>
      <c r="G178" s="688" t="str">
        <f t="shared" si="163"/>
        <v>$0.00</v>
      </c>
      <c r="H178" s="689"/>
      <c r="J178" s="95">
        <v>127</v>
      </c>
      <c r="K178" s="96">
        <f t="shared" si="164"/>
        <v>0</v>
      </c>
      <c r="L178" s="96">
        <f t="shared" si="165"/>
        <v>0</v>
      </c>
      <c r="M178" s="96">
        <f t="shared" si="166"/>
        <v>0</v>
      </c>
      <c r="N178" s="688">
        <f t="shared" si="167"/>
        <v>0</v>
      </c>
      <c r="O178" s="689"/>
      <c r="Q178" s="95">
        <v>127</v>
      </c>
      <c r="R178" s="101" t="str">
        <f t="shared" si="168"/>
        <v>$0.00</v>
      </c>
      <c r="S178" s="101" t="str">
        <f t="shared" si="169"/>
        <v>$0.00</v>
      </c>
      <c r="T178" s="101" t="str">
        <f t="shared" si="170"/>
        <v>$0.00</v>
      </c>
      <c r="U178" s="688" t="str">
        <f t="shared" si="171"/>
        <v>$0.00</v>
      </c>
      <c r="V178" s="689"/>
      <c r="X178" s="95">
        <v>127</v>
      </c>
      <c r="Y178" s="101" t="str">
        <f t="shared" si="172"/>
        <v>$0.00</v>
      </c>
      <c r="Z178" s="101" t="str">
        <f t="shared" si="173"/>
        <v>$0.00</v>
      </c>
      <c r="AA178" s="101" t="str">
        <f t="shared" si="174"/>
        <v>$0.00</v>
      </c>
      <c r="AB178" s="688" t="str">
        <f t="shared" si="175"/>
        <v>$0.00</v>
      </c>
      <c r="AC178" s="689"/>
    </row>
    <row r="179" spans="3:29" x14ac:dyDescent="0.2">
      <c r="C179" s="95">
        <v>128</v>
      </c>
      <c r="D179" s="101">
        <f t="shared" si="160"/>
        <v>0</v>
      </c>
      <c r="E179" s="101">
        <f t="shared" si="161"/>
        <v>0</v>
      </c>
      <c r="F179" s="101">
        <f t="shared" si="162"/>
        <v>0</v>
      </c>
      <c r="G179" s="688">
        <f t="shared" si="163"/>
        <v>0</v>
      </c>
      <c r="H179" s="689"/>
      <c r="J179" s="95">
        <v>128</v>
      </c>
      <c r="K179" s="96">
        <f t="shared" si="164"/>
        <v>0</v>
      </c>
      <c r="L179" s="96">
        <f t="shared" si="165"/>
        <v>0</v>
      </c>
      <c r="M179" s="96">
        <f t="shared" si="166"/>
        <v>0</v>
      </c>
      <c r="N179" s="688">
        <f t="shared" si="167"/>
        <v>0</v>
      </c>
      <c r="O179" s="689"/>
      <c r="Q179" s="95">
        <v>128</v>
      </c>
      <c r="R179" s="101">
        <f t="shared" si="168"/>
        <v>0</v>
      </c>
      <c r="S179" s="101">
        <f t="shared" si="169"/>
        <v>0</v>
      </c>
      <c r="T179" s="101">
        <f t="shared" si="170"/>
        <v>0</v>
      </c>
      <c r="U179" s="688">
        <f t="shared" si="171"/>
        <v>0</v>
      </c>
      <c r="V179" s="689"/>
      <c r="X179" s="95">
        <v>128</v>
      </c>
      <c r="Y179" s="101">
        <f t="shared" si="172"/>
        <v>0</v>
      </c>
      <c r="Z179" s="101">
        <f t="shared" si="173"/>
        <v>0</v>
      </c>
      <c r="AA179" s="101">
        <f t="shared" si="174"/>
        <v>0</v>
      </c>
      <c r="AB179" s="688">
        <f t="shared" si="175"/>
        <v>0</v>
      </c>
      <c r="AC179" s="689"/>
    </row>
    <row r="180" spans="3:29" x14ac:dyDescent="0.2">
      <c r="C180" s="95">
        <v>129</v>
      </c>
      <c r="D180" s="101" t="str">
        <f t="shared" si="160"/>
        <v>$0.00</v>
      </c>
      <c r="E180" s="101" t="str">
        <f t="shared" si="161"/>
        <v>$0.00</v>
      </c>
      <c r="F180" s="101" t="str">
        <f t="shared" si="162"/>
        <v>$0.00</v>
      </c>
      <c r="G180" s="688" t="str">
        <f t="shared" si="163"/>
        <v>$0.00</v>
      </c>
      <c r="H180" s="689"/>
      <c r="J180" s="95">
        <v>129</v>
      </c>
      <c r="K180" s="96">
        <f t="shared" si="164"/>
        <v>0</v>
      </c>
      <c r="L180" s="96">
        <f t="shared" si="165"/>
        <v>0</v>
      </c>
      <c r="M180" s="96">
        <f t="shared" si="166"/>
        <v>0</v>
      </c>
      <c r="N180" s="688">
        <f t="shared" si="167"/>
        <v>0</v>
      </c>
      <c r="O180" s="689"/>
      <c r="Q180" s="95">
        <v>129</v>
      </c>
      <c r="R180" s="101" t="str">
        <f t="shared" si="168"/>
        <v>$0.00</v>
      </c>
      <c r="S180" s="101" t="str">
        <f t="shared" si="169"/>
        <v>$0.00</v>
      </c>
      <c r="T180" s="101" t="str">
        <f t="shared" si="170"/>
        <v>$0.00</v>
      </c>
      <c r="U180" s="688" t="str">
        <f t="shared" si="171"/>
        <v>$0.00</v>
      </c>
      <c r="V180" s="689"/>
      <c r="X180" s="95">
        <v>129</v>
      </c>
      <c r="Y180" s="101" t="str">
        <f t="shared" si="172"/>
        <v>$0.00</v>
      </c>
      <c r="Z180" s="101" t="str">
        <f t="shared" si="173"/>
        <v>$0.00</v>
      </c>
      <c r="AA180" s="101" t="str">
        <f t="shared" si="174"/>
        <v>$0.00</v>
      </c>
      <c r="AB180" s="688" t="str">
        <f t="shared" si="175"/>
        <v>$0.00</v>
      </c>
      <c r="AC180" s="689"/>
    </row>
    <row r="181" spans="3:29" x14ac:dyDescent="0.2">
      <c r="C181" s="95">
        <v>130</v>
      </c>
      <c r="D181" s="101">
        <f t="shared" si="160"/>
        <v>0</v>
      </c>
      <c r="E181" s="101">
        <f t="shared" si="161"/>
        <v>0</v>
      </c>
      <c r="F181" s="101">
        <f t="shared" si="162"/>
        <v>0</v>
      </c>
      <c r="G181" s="688">
        <f t="shared" si="163"/>
        <v>0</v>
      </c>
      <c r="H181" s="689"/>
      <c r="J181" s="95">
        <v>130</v>
      </c>
      <c r="K181" s="96">
        <f t="shared" si="164"/>
        <v>0</v>
      </c>
      <c r="L181" s="96">
        <f t="shared" si="165"/>
        <v>0</v>
      </c>
      <c r="M181" s="96">
        <f t="shared" si="166"/>
        <v>0</v>
      </c>
      <c r="N181" s="688">
        <f t="shared" si="167"/>
        <v>0</v>
      </c>
      <c r="O181" s="689"/>
      <c r="Q181" s="95">
        <v>130</v>
      </c>
      <c r="R181" s="101">
        <f t="shared" si="168"/>
        <v>0</v>
      </c>
      <c r="S181" s="101">
        <f t="shared" si="169"/>
        <v>0</v>
      </c>
      <c r="T181" s="101">
        <f t="shared" si="170"/>
        <v>0</v>
      </c>
      <c r="U181" s="688">
        <f t="shared" si="171"/>
        <v>0</v>
      </c>
      <c r="V181" s="689"/>
      <c r="X181" s="95">
        <v>130</v>
      </c>
      <c r="Y181" s="101">
        <f t="shared" si="172"/>
        <v>0</v>
      </c>
      <c r="Z181" s="101">
        <f t="shared" si="173"/>
        <v>0</v>
      </c>
      <c r="AA181" s="101">
        <f t="shared" si="174"/>
        <v>0</v>
      </c>
      <c r="AB181" s="688">
        <f t="shared" si="175"/>
        <v>0</v>
      </c>
      <c r="AC181" s="689"/>
    </row>
    <row r="182" spans="3:29" x14ac:dyDescent="0.2">
      <c r="C182" s="95">
        <v>131</v>
      </c>
      <c r="D182" s="101" t="str">
        <f t="shared" si="160"/>
        <v>$0.00</v>
      </c>
      <c r="E182" s="101" t="str">
        <f t="shared" si="161"/>
        <v>$0.00</v>
      </c>
      <c r="F182" s="101" t="str">
        <f t="shared" si="162"/>
        <v>$0.00</v>
      </c>
      <c r="G182" s="688" t="str">
        <f t="shared" si="163"/>
        <v>$0.00</v>
      </c>
      <c r="H182" s="689"/>
      <c r="J182" s="95">
        <v>131</v>
      </c>
      <c r="K182" s="96">
        <f t="shared" si="164"/>
        <v>0</v>
      </c>
      <c r="L182" s="96">
        <f t="shared" si="165"/>
        <v>0</v>
      </c>
      <c r="M182" s="96">
        <f t="shared" si="166"/>
        <v>0</v>
      </c>
      <c r="N182" s="688">
        <f t="shared" si="167"/>
        <v>0</v>
      </c>
      <c r="O182" s="689"/>
      <c r="Q182" s="95">
        <v>131</v>
      </c>
      <c r="R182" s="101" t="str">
        <f t="shared" si="168"/>
        <v>$0.00</v>
      </c>
      <c r="S182" s="101" t="str">
        <f t="shared" si="169"/>
        <v>$0.00</v>
      </c>
      <c r="T182" s="101" t="str">
        <f t="shared" si="170"/>
        <v>$0.00</v>
      </c>
      <c r="U182" s="688" t="str">
        <f t="shared" si="171"/>
        <v>$0.00</v>
      </c>
      <c r="V182" s="689"/>
      <c r="X182" s="95">
        <v>131</v>
      </c>
      <c r="Y182" s="101" t="str">
        <f t="shared" si="172"/>
        <v>$0.00</v>
      </c>
      <c r="Z182" s="101" t="str">
        <f t="shared" si="173"/>
        <v>$0.00</v>
      </c>
      <c r="AA182" s="101" t="str">
        <f t="shared" si="174"/>
        <v>$0.00</v>
      </c>
      <c r="AB182" s="688" t="str">
        <f t="shared" si="175"/>
        <v>$0.00</v>
      </c>
      <c r="AC182" s="689"/>
    </row>
    <row r="183" spans="3:29" x14ac:dyDescent="0.2">
      <c r="C183" s="95">
        <v>132</v>
      </c>
      <c r="D183" s="101">
        <f t="shared" si="160"/>
        <v>0</v>
      </c>
      <c r="E183" s="101">
        <f t="shared" si="161"/>
        <v>0</v>
      </c>
      <c r="F183" s="101">
        <f t="shared" si="162"/>
        <v>0</v>
      </c>
      <c r="G183" s="690">
        <f t="shared" si="163"/>
        <v>0</v>
      </c>
      <c r="H183" s="691"/>
      <c r="J183" s="95">
        <v>132</v>
      </c>
      <c r="K183" s="96">
        <f t="shared" si="164"/>
        <v>0</v>
      </c>
      <c r="L183" s="96">
        <f t="shared" si="165"/>
        <v>0</v>
      </c>
      <c r="M183" s="96">
        <f t="shared" si="166"/>
        <v>0</v>
      </c>
      <c r="N183" s="690">
        <f t="shared" si="167"/>
        <v>0</v>
      </c>
      <c r="O183" s="691"/>
      <c r="Q183" s="95">
        <v>132</v>
      </c>
      <c r="R183" s="101">
        <f t="shared" si="168"/>
        <v>0</v>
      </c>
      <c r="S183" s="101">
        <f t="shared" si="169"/>
        <v>0</v>
      </c>
      <c r="T183" s="101">
        <f t="shared" si="170"/>
        <v>0</v>
      </c>
      <c r="U183" s="690">
        <f t="shared" si="171"/>
        <v>0</v>
      </c>
      <c r="V183" s="691"/>
      <c r="X183" s="95">
        <v>132</v>
      </c>
      <c r="Y183" s="101">
        <f t="shared" si="172"/>
        <v>0</v>
      </c>
      <c r="Z183" s="101">
        <f t="shared" si="173"/>
        <v>0</v>
      </c>
      <c r="AA183" s="101">
        <f t="shared" si="174"/>
        <v>0</v>
      </c>
      <c r="AB183" s="690">
        <f t="shared" si="175"/>
        <v>0</v>
      </c>
      <c r="AC183" s="691"/>
    </row>
    <row r="184" spans="3:29" x14ac:dyDescent="0.2">
      <c r="C184" s="97" t="s">
        <v>781</v>
      </c>
      <c r="D184" s="104">
        <f>SUM(D172:D183)</f>
        <v>0</v>
      </c>
      <c r="E184" s="104">
        <f>SUM(E172:E183)</f>
        <v>0</v>
      </c>
      <c r="F184" s="104">
        <f>SUM(F172:F183)</f>
        <v>0</v>
      </c>
      <c r="G184" s="692">
        <f>G183</f>
        <v>0</v>
      </c>
      <c r="H184" s="693"/>
      <c r="J184" s="97" t="s">
        <v>781</v>
      </c>
      <c r="K184" s="86">
        <f>SUM(K172:K183)</f>
        <v>0</v>
      </c>
      <c r="L184" s="86">
        <f>SUM(L172:L183)</f>
        <v>0</v>
      </c>
      <c r="M184" s="86">
        <f>SUM(M172:M183)</f>
        <v>0</v>
      </c>
      <c r="N184" s="692">
        <f>N183</f>
        <v>0</v>
      </c>
      <c r="O184" s="711"/>
      <c r="Q184" s="97" t="s">
        <v>781</v>
      </c>
      <c r="R184" s="104">
        <f>SUM(R172:R183)</f>
        <v>0</v>
      </c>
      <c r="S184" s="104">
        <f>SUM(S172:S183)</f>
        <v>0</v>
      </c>
      <c r="T184" s="104">
        <f>SUM(T172:T183)</f>
        <v>0</v>
      </c>
      <c r="U184" s="692">
        <f>U183</f>
        <v>0</v>
      </c>
      <c r="V184" s="693"/>
      <c r="X184" s="97" t="s">
        <v>781</v>
      </c>
      <c r="Y184" s="104">
        <f>SUM(Y172:Y183)</f>
        <v>0</v>
      </c>
      <c r="Z184" s="104">
        <f>SUM(Z172:Z183)</f>
        <v>0</v>
      </c>
      <c r="AA184" s="104">
        <f>SUM(AA172:AA183)</f>
        <v>0</v>
      </c>
      <c r="AB184" s="692">
        <f>AB183</f>
        <v>0</v>
      </c>
      <c r="AC184" s="693"/>
    </row>
    <row r="185" spans="3:29" x14ac:dyDescent="0.2">
      <c r="C185" s="95">
        <v>133</v>
      </c>
      <c r="D185" s="101" t="str">
        <f t="shared" ref="D185:D196" si="176">IF(G184&gt;0,G184*($E$36)/12,"$0.00")</f>
        <v>$0.00</v>
      </c>
      <c r="E185" s="101" t="str">
        <f t="shared" ref="E185:E196" si="177">IF(G184&gt;0,IF($E$38=4,"$0.00",IF($E$38=3,"$0.00",IF($E$38=2,"$0.00",+$G$39-D185))),"$0.00")</f>
        <v>$0.00</v>
      </c>
      <c r="F185" s="101" t="str">
        <f t="shared" ref="F185:F196" si="178">IF(G184=0,"$0.00",IF($E$38=4,"$0.00",IF($E$38=3,"$0.00",IF($E$38=2,D185,D185+E185))))</f>
        <v>$0.00</v>
      </c>
      <c r="G185" s="688" t="str">
        <f t="shared" ref="G185:G196" si="179">IF(G184=0,"$0.00",IF($E$38=4,G184+D185,IF($E$38=3,G184+D185,IF($E$38=2,G184,G184-E185))))</f>
        <v>$0.00</v>
      </c>
      <c r="H185" s="689"/>
      <c r="J185" s="95">
        <v>133</v>
      </c>
      <c r="K185" s="96">
        <f t="shared" ref="K185:K196" si="180">N184*($L$36)/12</f>
        <v>0</v>
      </c>
      <c r="L185" s="96">
        <f t="shared" ref="L185:L196" si="181">IF(L181=4,"$0.00",+$N$39-K185)</f>
        <v>0</v>
      </c>
      <c r="M185" s="96">
        <f t="shared" ref="M185:M196" si="182">IF(L181=4,"$0.00",K185+L185)</f>
        <v>0</v>
      </c>
      <c r="N185" s="709">
        <f t="shared" ref="N185:N196" si="183">IF(L181=4,N184+K185,N184-L185)</f>
        <v>0</v>
      </c>
      <c r="O185" s="710"/>
      <c r="Q185" s="95">
        <v>133</v>
      </c>
      <c r="R185" s="101" t="str">
        <f t="shared" ref="R185:R196" si="184">IF(U184&gt;0,U184*($S$36)/12,"$0.00")</f>
        <v>$0.00</v>
      </c>
      <c r="S185" s="101" t="str">
        <f t="shared" ref="S185:S196" si="185">IF(U184&gt;0,IF($S$38=4,"$0.00",IF($S$38=3,"$0.00",IF($S$38=2,"$0.00",+$U$39-R185))),"$0.00")</f>
        <v>$0.00</v>
      </c>
      <c r="T185" s="101" t="str">
        <f t="shared" ref="T185:T196" si="186">IF(U184=0,"$0.00",IF($S$38=4,"$0.00",IF($S$38=3,"$0.00",IF($S$38=2,R185,R185+S185))))</f>
        <v>$0.00</v>
      </c>
      <c r="U185" s="688" t="str">
        <f t="shared" ref="U185:U196" si="187">IF(U184=0,"$0.00",IF($S$38=4,U184+R185,IF($S$38=3,U184+R185,IF($S$38=2,U184,U184-S185))))</f>
        <v>$0.00</v>
      </c>
      <c r="V185" s="689"/>
      <c r="X185" s="95">
        <v>133</v>
      </c>
      <c r="Y185" s="101" t="str">
        <f t="shared" ref="Y185:Y196" si="188">IF(AB184&gt;0,AB184*($Z$36)/12,"$0.00")</f>
        <v>$0.00</v>
      </c>
      <c r="Z185" s="101" t="str">
        <f t="shared" ref="Z185:Z196" si="189">IF(AB184&gt;0,IF($Z$38=4,"$0.00",IF($Z$38=3,"$0.00",IF($Z$38=2,"$0.00",+$AB$39-Y185))),"$0.00")</f>
        <v>$0.00</v>
      </c>
      <c r="AA185" s="101" t="str">
        <f t="shared" ref="AA185:AA196" si="190">IF(AB184=0,"$0.00",IF($Z$38=4,"$0.00",IF($Z$38=3,"$0.00",IF($Z$38=2,Y185,Y185+Z185))))</f>
        <v>$0.00</v>
      </c>
      <c r="AB185" s="688" t="str">
        <f t="shared" ref="AB185:AB196" si="191">IF(AB184=0,"$0.00",IF($Z$38=4,AB184+Y185,IF($Z$38=3,AB184+Y185,IF($Z$38=2,AB184,AB184-Z185))))</f>
        <v>$0.00</v>
      </c>
      <c r="AC185" s="689"/>
    </row>
    <row r="186" spans="3:29" x14ac:dyDescent="0.2">
      <c r="C186" s="95">
        <v>134</v>
      </c>
      <c r="D186" s="101">
        <f t="shared" si="176"/>
        <v>0</v>
      </c>
      <c r="E186" s="101">
        <f t="shared" si="177"/>
        <v>0</v>
      </c>
      <c r="F186" s="101">
        <f t="shared" si="178"/>
        <v>0</v>
      </c>
      <c r="G186" s="688">
        <f t="shared" si="179"/>
        <v>0</v>
      </c>
      <c r="H186" s="689"/>
      <c r="J186" s="95">
        <v>134</v>
      </c>
      <c r="K186" s="96">
        <f t="shared" si="180"/>
        <v>0</v>
      </c>
      <c r="L186" s="96">
        <f t="shared" si="181"/>
        <v>0</v>
      </c>
      <c r="M186" s="96">
        <f t="shared" si="182"/>
        <v>0</v>
      </c>
      <c r="N186" s="688">
        <f t="shared" si="183"/>
        <v>0</v>
      </c>
      <c r="O186" s="689"/>
      <c r="Q186" s="95">
        <v>134</v>
      </c>
      <c r="R186" s="101">
        <f t="shared" si="184"/>
        <v>0</v>
      </c>
      <c r="S186" s="101">
        <f t="shared" si="185"/>
        <v>0</v>
      </c>
      <c r="T186" s="101">
        <f t="shared" si="186"/>
        <v>0</v>
      </c>
      <c r="U186" s="688">
        <f t="shared" si="187"/>
        <v>0</v>
      </c>
      <c r="V186" s="689"/>
      <c r="X186" s="95">
        <v>134</v>
      </c>
      <c r="Y186" s="101">
        <f t="shared" si="188"/>
        <v>0</v>
      </c>
      <c r="Z186" s="101">
        <f t="shared" si="189"/>
        <v>0</v>
      </c>
      <c r="AA186" s="101">
        <f t="shared" si="190"/>
        <v>0</v>
      </c>
      <c r="AB186" s="688">
        <f t="shared" si="191"/>
        <v>0</v>
      </c>
      <c r="AC186" s="689"/>
    </row>
    <row r="187" spans="3:29" x14ac:dyDescent="0.2">
      <c r="C187" s="95">
        <v>135</v>
      </c>
      <c r="D187" s="101" t="str">
        <f t="shared" si="176"/>
        <v>$0.00</v>
      </c>
      <c r="E187" s="101" t="str">
        <f t="shared" si="177"/>
        <v>$0.00</v>
      </c>
      <c r="F187" s="101" t="str">
        <f t="shared" si="178"/>
        <v>$0.00</v>
      </c>
      <c r="G187" s="688" t="str">
        <f t="shared" si="179"/>
        <v>$0.00</v>
      </c>
      <c r="H187" s="689"/>
      <c r="J187" s="95">
        <v>135</v>
      </c>
      <c r="K187" s="96">
        <f t="shared" si="180"/>
        <v>0</v>
      </c>
      <c r="L187" s="96">
        <f t="shared" si="181"/>
        <v>0</v>
      </c>
      <c r="M187" s="96">
        <f t="shared" si="182"/>
        <v>0</v>
      </c>
      <c r="N187" s="688">
        <f t="shared" si="183"/>
        <v>0</v>
      </c>
      <c r="O187" s="689"/>
      <c r="Q187" s="95">
        <v>135</v>
      </c>
      <c r="R187" s="101" t="str">
        <f t="shared" si="184"/>
        <v>$0.00</v>
      </c>
      <c r="S187" s="101" t="str">
        <f t="shared" si="185"/>
        <v>$0.00</v>
      </c>
      <c r="T187" s="101" t="str">
        <f t="shared" si="186"/>
        <v>$0.00</v>
      </c>
      <c r="U187" s="688" t="str">
        <f t="shared" si="187"/>
        <v>$0.00</v>
      </c>
      <c r="V187" s="689"/>
      <c r="X187" s="95">
        <v>135</v>
      </c>
      <c r="Y187" s="101" t="str">
        <f t="shared" si="188"/>
        <v>$0.00</v>
      </c>
      <c r="Z187" s="101" t="str">
        <f t="shared" si="189"/>
        <v>$0.00</v>
      </c>
      <c r="AA187" s="101" t="str">
        <f t="shared" si="190"/>
        <v>$0.00</v>
      </c>
      <c r="AB187" s="688" t="str">
        <f t="shared" si="191"/>
        <v>$0.00</v>
      </c>
      <c r="AC187" s="689"/>
    </row>
    <row r="188" spans="3:29" x14ac:dyDescent="0.2">
      <c r="C188" s="95">
        <v>136</v>
      </c>
      <c r="D188" s="101">
        <f t="shared" si="176"/>
        <v>0</v>
      </c>
      <c r="E188" s="101">
        <f t="shared" si="177"/>
        <v>0</v>
      </c>
      <c r="F188" s="101">
        <f t="shared" si="178"/>
        <v>0</v>
      </c>
      <c r="G188" s="688">
        <f t="shared" si="179"/>
        <v>0</v>
      </c>
      <c r="H188" s="689"/>
      <c r="J188" s="95">
        <v>136</v>
      </c>
      <c r="K188" s="96">
        <f t="shared" si="180"/>
        <v>0</v>
      </c>
      <c r="L188" s="96">
        <f t="shared" si="181"/>
        <v>0</v>
      </c>
      <c r="M188" s="96">
        <f t="shared" si="182"/>
        <v>0</v>
      </c>
      <c r="N188" s="688">
        <f t="shared" si="183"/>
        <v>0</v>
      </c>
      <c r="O188" s="689"/>
      <c r="Q188" s="95">
        <v>136</v>
      </c>
      <c r="R188" s="101">
        <f t="shared" si="184"/>
        <v>0</v>
      </c>
      <c r="S188" s="101">
        <f t="shared" si="185"/>
        <v>0</v>
      </c>
      <c r="T188" s="101">
        <f t="shared" si="186"/>
        <v>0</v>
      </c>
      <c r="U188" s="688">
        <f t="shared" si="187"/>
        <v>0</v>
      </c>
      <c r="V188" s="689"/>
      <c r="X188" s="95">
        <v>136</v>
      </c>
      <c r="Y188" s="101">
        <f t="shared" si="188"/>
        <v>0</v>
      </c>
      <c r="Z188" s="101">
        <f t="shared" si="189"/>
        <v>0</v>
      </c>
      <c r="AA188" s="101">
        <f t="shared" si="190"/>
        <v>0</v>
      </c>
      <c r="AB188" s="688">
        <f t="shared" si="191"/>
        <v>0</v>
      </c>
      <c r="AC188" s="689"/>
    </row>
    <row r="189" spans="3:29" x14ac:dyDescent="0.2">
      <c r="C189" s="95">
        <v>137</v>
      </c>
      <c r="D189" s="101" t="str">
        <f t="shared" si="176"/>
        <v>$0.00</v>
      </c>
      <c r="E189" s="101" t="str">
        <f t="shared" si="177"/>
        <v>$0.00</v>
      </c>
      <c r="F189" s="101" t="str">
        <f t="shared" si="178"/>
        <v>$0.00</v>
      </c>
      <c r="G189" s="688" t="str">
        <f t="shared" si="179"/>
        <v>$0.00</v>
      </c>
      <c r="H189" s="689"/>
      <c r="J189" s="95">
        <v>137</v>
      </c>
      <c r="K189" s="96">
        <f t="shared" si="180"/>
        <v>0</v>
      </c>
      <c r="L189" s="96">
        <f t="shared" si="181"/>
        <v>0</v>
      </c>
      <c r="M189" s="96">
        <f t="shared" si="182"/>
        <v>0</v>
      </c>
      <c r="N189" s="688">
        <f t="shared" si="183"/>
        <v>0</v>
      </c>
      <c r="O189" s="689"/>
      <c r="Q189" s="95">
        <v>137</v>
      </c>
      <c r="R189" s="101" t="str">
        <f t="shared" si="184"/>
        <v>$0.00</v>
      </c>
      <c r="S189" s="101" t="str">
        <f t="shared" si="185"/>
        <v>$0.00</v>
      </c>
      <c r="T189" s="101" t="str">
        <f t="shared" si="186"/>
        <v>$0.00</v>
      </c>
      <c r="U189" s="688" t="str">
        <f t="shared" si="187"/>
        <v>$0.00</v>
      </c>
      <c r="V189" s="689"/>
      <c r="X189" s="95">
        <v>137</v>
      </c>
      <c r="Y189" s="101" t="str">
        <f t="shared" si="188"/>
        <v>$0.00</v>
      </c>
      <c r="Z189" s="101" t="str">
        <f t="shared" si="189"/>
        <v>$0.00</v>
      </c>
      <c r="AA189" s="101" t="str">
        <f t="shared" si="190"/>
        <v>$0.00</v>
      </c>
      <c r="AB189" s="688" t="str">
        <f t="shared" si="191"/>
        <v>$0.00</v>
      </c>
      <c r="AC189" s="689"/>
    </row>
    <row r="190" spans="3:29" x14ac:dyDescent="0.2">
      <c r="C190" s="95">
        <v>138</v>
      </c>
      <c r="D190" s="101">
        <f t="shared" si="176"/>
        <v>0</v>
      </c>
      <c r="E190" s="101">
        <f t="shared" si="177"/>
        <v>0</v>
      </c>
      <c r="F190" s="101">
        <f t="shared" si="178"/>
        <v>0</v>
      </c>
      <c r="G190" s="688">
        <f t="shared" si="179"/>
        <v>0</v>
      </c>
      <c r="H190" s="689"/>
      <c r="J190" s="95">
        <v>138</v>
      </c>
      <c r="K190" s="96">
        <f t="shared" si="180"/>
        <v>0</v>
      </c>
      <c r="L190" s="96">
        <f t="shared" si="181"/>
        <v>0</v>
      </c>
      <c r="M190" s="96">
        <f t="shared" si="182"/>
        <v>0</v>
      </c>
      <c r="N190" s="688">
        <f t="shared" si="183"/>
        <v>0</v>
      </c>
      <c r="O190" s="689"/>
      <c r="Q190" s="95">
        <v>138</v>
      </c>
      <c r="R190" s="101">
        <f t="shared" si="184"/>
        <v>0</v>
      </c>
      <c r="S190" s="101">
        <f t="shared" si="185"/>
        <v>0</v>
      </c>
      <c r="T190" s="101">
        <f t="shared" si="186"/>
        <v>0</v>
      </c>
      <c r="U190" s="688">
        <f t="shared" si="187"/>
        <v>0</v>
      </c>
      <c r="V190" s="689"/>
      <c r="X190" s="95">
        <v>138</v>
      </c>
      <c r="Y190" s="101">
        <f t="shared" si="188"/>
        <v>0</v>
      </c>
      <c r="Z190" s="101">
        <f t="shared" si="189"/>
        <v>0</v>
      </c>
      <c r="AA190" s="101">
        <f t="shared" si="190"/>
        <v>0</v>
      </c>
      <c r="AB190" s="688">
        <f t="shared" si="191"/>
        <v>0</v>
      </c>
      <c r="AC190" s="689"/>
    </row>
    <row r="191" spans="3:29" x14ac:dyDescent="0.2">
      <c r="C191" s="95">
        <v>139</v>
      </c>
      <c r="D191" s="101" t="str">
        <f t="shared" si="176"/>
        <v>$0.00</v>
      </c>
      <c r="E191" s="101" t="str">
        <f t="shared" si="177"/>
        <v>$0.00</v>
      </c>
      <c r="F191" s="101" t="str">
        <f t="shared" si="178"/>
        <v>$0.00</v>
      </c>
      <c r="G191" s="688" t="str">
        <f t="shared" si="179"/>
        <v>$0.00</v>
      </c>
      <c r="H191" s="689"/>
      <c r="J191" s="95">
        <v>139</v>
      </c>
      <c r="K191" s="96">
        <f t="shared" si="180"/>
        <v>0</v>
      </c>
      <c r="L191" s="96">
        <f t="shared" si="181"/>
        <v>0</v>
      </c>
      <c r="M191" s="96">
        <f t="shared" si="182"/>
        <v>0</v>
      </c>
      <c r="N191" s="688">
        <f t="shared" si="183"/>
        <v>0</v>
      </c>
      <c r="O191" s="689"/>
      <c r="Q191" s="95">
        <v>139</v>
      </c>
      <c r="R191" s="101" t="str">
        <f t="shared" si="184"/>
        <v>$0.00</v>
      </c>
      <c r="S191" s="101" t="str">
        <f t="shared" si="185"/>
        <v>$0.00</v>
      </c>
      <c r="T191" s="101" t="str">
        <f t="shared" si="186"/>
        <v>$0.00</v>
      </c>
      <c r="U191" s="688" t="str">
        <f t="shared" si="187"/>
        <v>$0.00</v>
      </c>
      <c r="V191" s="689"/>
      <c r="X191" s="95">
        <v>139</v>
      </c>
      <c r="Y191" s="101" t="str">
        <f t="shared" si="188"/>
        <v>$0.00</v>
      </c>
      <c r="Z191" s="101" t="str">
        <f t="shared" si="189"/>
        <v>$0.00</v>
      </c>
      <c r="AA191" s="101" t="str">
        <f t="shared" si="190"/>
        <v>$0.00</v>
      </c>
      <c r="AB191" s="688" t="str">
        <f t="shared" si="191"/>
        <v>$0.00</v>
      </c>
      <c r="AC191" s="689"/>
    </row>
    <row r="192" spans="3:29" x14ac:dyDescent="0.2">
      <c r="C192" s="95">
        <v>140</v>
      </c>
      <c r="D192" s="101">
        <f t="shared" si="176"/>
        <v>0</v>
      </c>
      <c r="E192" s="101">
        <f t="shared" si="177"/>
        <v>0</v>
      </c>
      <c r="F192" s="101">
        <f t="shared" si="178"/>
        <v>0</v>
      </c>
      <c r="G192" s="688">
        <f t="shared" si="179"/>
        <v>0</v>
      </c>
      <c r="H192" s="689"/>
      <c r="J192" s="95">
        <v>140</v>
      </c>
      <c r="K192" s="96">
        <f t="shared" si="180"/>
        <v>0</v>
      </c>
      <c r="L192" s="96">
        <f t="shared" si="181"/>
        <v>0</v>
      </c>
      <c r="M192" s="96">
        <f t="shared" si="182"/>
        <v>0</v>
      </c>
      <c r="N192" s="688">
        <f t="shared" si="183"/>
        <v>0</v>
      </c>
      <c r="O192" s="689"/>
      <c r="Q192" s="95">
        <v>140</v>
      </c>
      <c r="R192" s="101">
        <f t="shared" si="184"/>
        <v>0</v>
      </c>
      <c r="S192" s="101">
        <f t="shared" si="185"/>
        <v>0</v>
      </c>
      <c r="T192" s="101">
        <f t="shared" si="186"/>
        <v>0</v>
      </c>
      <c r="U192" s="688">
        <f t="shared" si="187"/>
        <v>0</v>
      </c>
      <c r="V192" s="689"/>
      <c r="X192" s="95">
        <v>140</v>
      </c>
      <c r="Y192" s="101">
        <f t="shared" si="188"/>
        <v>0</v>
      </c>
      <c r="Z192" s="101">
        <f t="shared" si="189"/>
        <v>0</v>
      </c>
      <c r="AA192" s="101">
        <f t="shared" si="190"/>
        <v>0</v>
      </c>
      <c r="AB192" s="688">
        <f t="shared" si="191"/>
        <v>0</v>
      </c>
      <c r="AC192" s="689"/>
    </row>
    <row r="193" spans="3:29" x14ac:dyDescent="0.2">
      <c r="C193" s="95">
        <v>141</v>
      </c>
      <c r="D193" s="101" t="str">
        <f t="shared" si="176"/>
        <v>$0.00</v>
      </c>
      <c r="E193" s="101" t="str">
        <f t="shared" si="177"/>
        <v>$0.00</v>
      </c>
      <c r="F193" s="101" t="str">
        <f t="shared" si="178"/>
        <v>$0.00</v>
      </c>
      <c r="G193" s="688" t="str">
        <f t="shared" si="179"/>
        <v>$0.00</v>
      </c>
      <c r="H193" s="689"/>
      <c r="J193" s="95">
        <v>141</v>
      </c>
      <c r="K193" s="96">
        <f t="shared" si="180"/>
        <v>0</v>
      </c>
      <c r="L193" s="96">
        <f t="shared" si="181"/>
        <v>0</v>
      </c>
      <c r="M193" s="96">
        <f t="shared" si="182"/>
        <v>0</v>
      </c>
      <c r="N193" s="688">
        <f t="shared" si="183"/>
        <v>0</v>
      </c>
      <c r="O193" s="689"/>
      <c r="Q193" s="95">
        <v>141</v>
      </c>
      <c r="R193" s="101" t="str">
        <f t="shared" si="184"/>
        <v>$0.00</v>
      </c>
      <c r="S193" s="101" t="str">
        <f t="shared" si="185"/>
        <v>$0.00</v>
      </c>
      <c r="T193" s="101" t="str">
        <f t="shared" si="186"/>
        <v>$0.00</v>
      </c>
      <c r="U193" s="688" t="str">
        <f t="shared" si="187"/>
        <v>$0.00</v>
      </c>
      <c r="V193" s="689"/>
      <c r="X193" s="95">
        <v>141</v>
      </c>
      <c r="Y193" s="101" t="str">
        <f t="shared" si="188"/>
        <v>$0.00</v>
      </c>
      <c r="Z193" s="101" t="str">
        <f t="shared" si="189"/>
        <v>$0.00</v>
      </c>
      <c r="AA193" s="101" t="str">
        <f t="shared" si="190"/>
        <v>$0.00</v>
      </c>
      <c r="AB193" s="688" t="str">
        <f t="shared" si="191"/>
        <v>$0.00</v>
      </c>
      <c r="AC193" s="689"/>
    </row>
    <row r="194" spans="3:29" x14ac:dyDescent="0.2">
      <c r="C194" s="95">
        <v>142</v>
      </c>
      <c r="D194" s="101">
        <f t="shared" si="176"/>
        <v>0</v>
      </c>
      <c r="E194" s="101">
        <f t="shared" si="177"/>
        <v>0</v>
      </c>
      <c r="F194" s="101">
        <f t="shared" si="178"/>
        <v>0</v>
      </c>
      <c r="G194" s="688">
        <f t="shared" si="179"/>
        <v>0</v>
      </c>
      <c r="H194" s="689"/>
      <c r="J194" s="95">
        <v>142</v>
      </c>
      <c r="K194" s="96">
        <f t="shared" si="180"/>
        <v>0</v>
      </c>
      <c r="L194" s="96">
        <f t="shared" si="181"/>
        <v>0</v>
      </c>
      <c r="M194" s="96">
        <f t="shared" si="182"/>
        <v>0</v>
      </c>
      <c r="N194" s="688">
        <f t="shared" si="183"/>
        <v>0</v>
      </c>
      <c r="O194" s="689"/>
      <c r="Q194" s="95">
        <v>142</v>
      </c>
      <c r="R194" s="101">
        <f t="shared" si="184"/>
        <v>0</v>
      </c>
      <c r="S194" s="101">
        <f t="shared" si="185"/>
        <v>0</v>
      </c>
      <c r="T194" s="101">
        <f t="shared" si="186"/>
        <v>0</v>
      </c>
      <c r="U194" s="688">
        <f t="shared" si="187"/>
        <v>0</v>
      </c>
      <c r="V194" s="689"/>
      <c r="X194" s="95">
        <v>142</v>
      </c>
      <c r="Y194" s="101">
        <f t="shared" si="188"/>
        <v>0</v>
      </c>
      <c r="Z194" s="101">
        <f t="shared" si="189"/>
        <v>0</v>
      </c>
      <c r="AA194" s="101">
        <f t="shared" si="190"/>
        <v>0</v>
      </c>
      <c r="AB194" s="688">
        <f t="shared" si="191"/>
        <v>0</v>
      </c>
      <c r="AC194" s="689"/>
    </row>
    <row r="195" spans="3:29" x14ac:dyDescent="0.2">
      <c r="C195" s="95">
        <v>143</v>
      </c>
      <c r="D195" s="101" t="str">
        <f t="shared" si="176"/>
        <v>$0.00</v>
      </c>
      <c r="E195" s="101" t="str">
        <f t="shared" si="177"/>
        <v>$0.00</v>
      </c>
      <c r="F195" s="101" t="str">
        <f t="shared" si="178"/>
        <v>$0.00</v>
      </c>
      <c r="G195" s="688" t="str">
        <f t="shared" si="179"/>
        <v>$0.00</v>
      </c>
      <c r="H195" s="689"/>
      <c r="J195" s="95">
        <v>143</v>
      </c>
      <c r="K195" s="96">
        <f t="shared" si="180"/>
        <v>0</v>
      </c>
      <c r="L195" s="96">
        <f t="shared" si="181"/>
        <v>0</v>
      </c>
      <c r="M195" s="96">
        <f t="shared" si="182"/>
        <v>0</v>
      </c>
      <c r="N195" s="688">
        <f t="shared" si="183"/>
        <v>0</v>
      </c>
      <c r="O195" s="689"/>
      <c r="Q195" s="95">
        <v>143</v>
      </c>
      <c r="R195" s="101" t="str">
        <f t="shared" si="184"/>
        <v>$0.00</v>
      </c>
      <c r="S195" s="101" t="str">
        <f t="shared" si="185"/>
        <v>$0.00</v>
      </c>
      <c r="T195" s="101" t="str">
        <f t="shared" si="186"/>
        <v>$0.00</v>
      </c>
      <c r="U195" s="688" t="str">
        <f t="shared" si="187"/>
        <v>$0.00</v>
      </c>
      <c r="V195" s="689"/>
      <c r="X195" s="95">
        <v>143</v>
      </c>
      <c r="Y195" s="101" t="str">
        <f t="shared" si="188"/>
        <v>$0.00</v>
      </c>
      <c r="Z195" s="101" t="str">
        <f t="shared" si="189"/>
        <v>$0.00</v>
      </c>
      <c r="AA195" s="101" t="str">
        <f t="shared" si="190"/>
        <v>$0.00</v>
      </c>
      <c r="AB195" s="688" t="str">
        <f t="shared" si="191"/>
        <v>$0.00</v>
      </c>
      <c r="AC195" s="689"/>
    </row>
    <row r="196" spans="3:29" x14ac:dyDescent="0.2">
      <c r="C196" s="95">
        <v>144</v>
      </c>
      <c r="D196" s="101">
        <f t="shared" si="176"/>
        <v>0</v>
      </c>
      <c r="E196" s="101">
        <f t="shared" si="177"/>
        <v>0</v>
      </c>
      <c r="F196" s="101">
        <f t="shared" si="178"/>
        <v>0</v>
      </c>
      <c r="G196" s="690">
        <f t="shared" si="179"/>
        <v>0</v>
      </c>
      <c r="H196" s="691"/>
      <c r="J196" s="95">
        <v>144</v>
      </c>
      <c r="K196" s="96">
        <f t="shared" si="180"/>
        <v>0</v>
      </c>
      <c r="L196" s="96">
        <f t="shared" si="181"/>
        <v>0</v>
      </c>
      <c r="M196" s="96">
        <f t="shared" si="182"/>
        <v>0</v>
      </c>
      <c r="N196" s="690">
        <f t="shared" si="183"/>
        <v>0</v>
      </c>
      <c r="O196" s="691"/>
      <c r="Q196" s="95">
        <v>144</v>
      </c>
      <c r="R196" s="101">
        <f t="shared" si="184"/>
        <v>0</v>
      </c>
      <c r="S196" s="101">
        <f t="shared" si="185"/>
        <v>0</v>
      </c>
      <c r="T196" s="101">
        <f t="shared" si="186"/>
        <v>0</v>
      </c>
      <c r="U196" s="690">
        <f t="shared" si="187"/>
        <v>0</v>
      </c>
      <c r="V196" s="691"/>
      <c r="X196" s="95">
        <v>144</v>
      </c>
      <c r="Y196" s="101">
        <f t="shared" si="188"/>
        <v>0</v>
      </c>
      <c r="Z196" s="101">
        <f t="shared" si="189"/>
        <v>0</v>
      </c>
      <c r="AA196" s="101">
        <f t="shared" si="190"/>
        <v>0</v>
      </c>
      <c r="AB196" s="690">
        <f t="shared" si="191"/>
        <v>0</v>
      </c>
      <c r="AC196" s="691"/>
    </row>
    <row r="197" spans="3:29" x14ac:dyDescent="0.2">
      <c r="C197" s="97" t="s">
        <v>782</v>
      </c>
      <c r="D197" s="104">
        <f>SUM(D185:D196)</f>
        <v>0</v>
      </c>
      <c r="E197" s="104">
        <f>SUM(E185:E196)</f>
        <v>0</v>
      </c>
      <c r="F197" s="104">
        <f>SUM(F185:F196)</f>
        <v>0</v>
      </c>
      <c r="G197" s="692">
        <f>G196</f>
        <v>0</v>
      </c>
      <c r="H197" s="693"/>
      <c r="J197" s="97" t="s">
        <v>782</v>
      </c>
      <c r="K197" s="86">
        <f>SUM(K185:K196)</f>
        <v>0</v>
      </c>
      <c r="L197" s="86">
        <f>SUM(L185:L196)</f>
        <v>0</v>
      </c>
      <c r="M197" s="86">
        <f>SUM(M185:M196)</f>
        <v>0</v>
      </c>
      <c r="N197" s="692">
        <f>N196</f>
        <v>0</v>
      </c>
      <c r="O197" s="711"/>
      <c r="Q197" s="97" t="s">
        <v>782</v>
      </c>
      <c r="R197" s="104">
        <f>SUM(R185:R196)</f>
        <v>0</v>
      </c>
      <c r="S197" s="104">
        <f>SUM(S185:S196)</f>
        <v>0</v>
      </c>
      <c r="T197" s="104">
        <f>SUM(T185:T196)</f>
        <v>0</v>
      </c>
      <c r="U197" s="692">
        <f>U196</f>
        <v>0</v>
      </c>
      <c r="V197" s="693"/>
      <c r="X197" s="97" t="s">
        <v>782</v>
      </c>
      <c r="Y197" s="104">
        <f>SUM(Y185:Y196)</f>
        <v>0</v>
      </c>
      <c r="Z197" s="104">
        <f>SUM(Z185:Z196)</f>
        <v>0</v>
      </c>
      <c r="AA197" s="104">
        <f>SUM(AA185:AA196)</f>
        <v>0</v>
      </c>
      <c r="AB197" s="692">
        <f>AB196</f>
        <v>0</v>
      </c>
      <c r="AC197" s="693"/>
    </row>
    <row r="198" spans="3:29" x14ac:dyDescent="0.2">
      <c r="C198" s="95">
        <v>145</v>
      </c>
      <c r="D198" s="101" t="str">
        <f t="shared" ref="D198:D209" si="192">IF(G197&gt;0,G197*($E$36)/12,"$0.00")</f>
        <v>$0.00</v>
      </c>
      <c r="E198" s="101" t="str">
        <f t="shared" ref="E198:E209" si="193">IF(G197&gt;0,IF($E$38=4,"$0.00",IF($E$38=3,"$0.00",IF($E$38=2,"$0.00",+$G$39-D198))),"$0.00")</f>
        <v>$0.00</v>
      </c>
      <c r="F198" s="101" t="str">
        <f t="shared" ref="F198:F209" si="194">IF(G197=0,"$0.00",IF($E$38=4,"$0.00",IF($E$38=3,"$0.00",IF($E$38=2,D198,D198+E198))))</f>
        <v>$0.00</v>
      </c>
      <c r="G198" s="688" t="str">
        <f t="shared" ref="G198:G209" si="195">IF(G197=0,"$0.00",IF($E$38=4,G197+D198,IF($E$38=3,G197+D198,IF($E$38=2,G197,G197-E198))))</f>
        <v>$0.00</v>
      </c>
      <c r="H198" s="689"/>
      <c r="J198" s="95">
        <v>145</v>
      </c>
      <c r="K198" s="96">
        <f t="shared" ref="K198:K209" si="196">N197*($L$36)/12</f>
        <v>0</v>
      </c>
      <c r="L198" s="96">
        <f t="shared" ref="L198:L209" si="197">IF(L194=4,"$0.00",+$N$39-K198)</f>
        <v>0</v>
      </c>
      <c r="M198" s="96">
        <f t="shared" ref="M198:M209" si="198">IF(L194=4,"$0.00",K198+L198)</f>
        <v>0</v>
      </c>
      <c r="N198" s="709">
        <f t="shared" ref="N198:N209" si="199">IF(L194=4,N197+K198,N197-L198)</f>
        <v>0</v>
      </c>
      <c r="O198" s="710"/>
      <c r="Q198" s="95">
        <v>145</v>
      </c>
      <c r="R198" s="101" t="str">
        <f t="shared" ref="R198:R209" si="200">IF(U197&gt;0,U197*($S$36)/12,"$0.00")</f>
        <v>$0.00</v>
      </c>
      <c r="S198" s="101" t="str">
        <f t="shared" ref="S198:S209" si="201">IF(U197&gt;0,IF($S$38=4,"$0.00",IF($S$38=3,"$0.00",IF($S$38=2,"$0.00",+$U$39-R198))),"$0.00")</f>
        <v>$0.00</v>
      </c>
      <c r="T198" s="101" t="str">
        <f t="shared" ref="T198:T209" si="202">IF(U197=0,"$0.00",IF($S$38=4,"$0.00",IF($S$38=3,"$0.00",IF($S$38=2,R198,R198+S198))))</f>
        <v>$0.00</v>
      </c>
      <c r="U198" s="688" t="str">
        <f t="shared" ref="U198:U209" si="203">IF(U197=0,"$0.00",IF($S$38=4,U197+R198,IF($S$38=3,U197+R198,IF($S$38=2,U197,U197-S198))))</f>
        <v>$0.00</v>
      </c>
      <c r="V198" s="689"/>
      <c r="X198" s="95">
        <v>145</v>
      </c>
      <c r="Y198" s="101" t="str">
        <f t="shared" ref="Y198:Y209" si="204">IF(AB197&gt;0,AB197*($Z$36)/12,"$0.00")</f>
        <v>$0.00</v>
      </c>
      <c r="Z198" s="101" t="str">
        <f t="shared" ref="Z198:Z209" si="205">IF(AB197&gt;0,IF($Z$38=4,"$0.00",IF($Z$38=3,"$0.00",IF($Z$38=2,"$0.00",+$AB$39-Y198))),"$0.00")</f>
        <v>$0.00</v>
      </c>
      <c r="AA198" s="101" t="str">
        <f t="shared" ref="AA198:AA209" si="206">IF(AB197=0,"$0.00",IF($Z$38=4,"$0.00",IF($Z$38=3,"$0.00",IF($Z$38=2,Y198,Y198+Z198))))</f>
        <v>$0.00</v>
      </c>
      <c r="AB198" s="688" t="str">
        <f t="shared" ref="AB198:AB209" si="207">IF(AB197=0,"$0.00",IF($Z$38=4,AB197+Y198,IF($Z$38=3,AB197+Y198,IF($Z$38=2,AB197,AB197-Z198))))</f>
        <v>$0.00</v>
      </c>
      <c r="AC198" s="689"/>
    </row>
    <row r="199" spans="3:29" x14ac:dyDescent="0.2">
      <c r="C199" s="95">
        <v>146</v>
      </c>
      <c r="D199" s="101">
        <f t="shared" si="192"/>
        <v>0</v>
      </c>
      <c r="E199" s="101">
        <f t="shared" si="193"/>
        <v>0</v>
      </c>
      <c r="F199" s="101">
        <f t="shared" si="194"/>
        <v>0</v>
      </c>
      <c r="G199" s="688">
        <f t="shared" si="195"/>
        <v>0</v>
      </c>
      <c r="H199" s="689"/>
      <c r="J199" s="95">
        <v>146</v>
      </c>
      <c r="K199" s="96">
        <f t="shared" si="196"/>
        <v>0</v>
      </c>
      <c r="L199" s="96">
        <f t="shared" si="197"/>
        <v>0</v>
      </c>
      <c r="M199" s="96">
        <f t="shared" si="198"/>
        <v>0</v>
      </c>
      <c r="N199" s="688">
        <f t="shared" si="199"/>
        <v>0</v>
      </c>
      <c r="O199" s="689"/>
      <c r="Q199" s="95">
        <v>146</v>
      </c>
      <c r="R199" s="101">
        <f t="shared" si="200"/>
        <v>0</v>
      </c>
      <c r="S199" s="101">
        <f t="shared" si="201"/>
        <v>0</v>
      </c>
      <c r="T199" s="101">
        <f t="shared" si="202"/>
        <v>0</v>
      </c>
      <c r="U199" s="688">
        <f t="shared" si="203"/>
        <v>0</v>
      </c>
      <c r="V199" s="689"/>
      <c r="X199" s="95">
        <v>146</v>
      </c>
      <c r="Y199" s="101">
        <f t="shared" si="204"/>
        <v>0</v>
      </c>
      <c r="Z199" s="101">
        <f t="shared" si="205"/>
        <v>0</v>
      </c>
      <c r="AA199" s="101">
        <f t="shared" si="206"/>
        <v>0</v>
      </c>
      <c r="AB199" s="688">
        <f t="shared" si="207"/>
        <v>0</v>
      </c>
      <c r="AC199" s="689"/>
    </row>
    <row r="200" spans="3:29" x14ac:dyDescent="0.2">
      <c r="C200" s="95">
        <v>147</v>
      </c>
      <c r="D200" s="101" t="str">
        <f t="shared" si="192"/>
        <v>$0.00</v>
      </c>
      <c r="E200" s="101" t="str">
        <f t="shared" si="193"/>
        <v>$0.00</v>
      </c>
      <c r="F200" s="101" t="str">
        <f t="shared" si="194"/>
        <v>$0.00</v>
      </c>
      <c r="G200" s="688" t="str">
        <f t="shared" si="195"/>
        <v>$0.00</v>
      </c>
      <c r="H200" s="689"/>
      <c r="J200" s="95">
        <v>147</v>
      </c>
      <c r="K200" s="96">
        <f t="shared" si="196"/>
        <v>0</v>
      </c>
      <c r="L200" s="96">
        <f t="shared" si="197"/>
        <v>0</v>
      </c>
      <c r="M200" s="96">
        <f t="shared" si="198"/>
        <v>0</v>
      </c>
      <c r="N200" s="688">
        <f t="shared" si="199"/>
        <v>0</v>
      </c>
      <c r="O200" s="689"/>
      <c r="Q200" s="95">
        <v>147</v>
      </c>
      <c r="R200" s="101" t="str">
        <f t="shared" si="200"/>
        <v>$0.00</v>
      </c>
      <c r="S200" s="101" t="str">
        <f t="shared" si="201"/>
        <v>$0.00</v>
      </c>
      <c r="T200" s="101" t="str">
        <f t="shared" si="202"/>
        <v>$0.00</v>
      </c>
      <c r="U200" s="688" t="str">
        <f t="shared" si="203"/>
        <v>$0.00</v>
      </c>
      <c r="V200" s="689"/>
      <c r="X200" s="95">
        <v>147</v>
      </c>
      <c r="Y200" s="101" t="str">
        <f t="shared" si="204"/>
        <v>$0.00</v>
      </c>
      <c r="Z200" s="101" t="str">
        <f t="shared" si="205"/>
        <v>$0.00</v>
      </c>
      <c r="AA200" s="101" t="str">
        <f t="shared" si="206"/>
        <v>$0.00</v>
      </c>
      <c r="AB200" s="688" t="str">
        <f t="shared" si="207"/>
        <v>$0.00</v>
      </c>
      <c r="AC200" s="689"/>
    </row>
    <row r="201" spans="3:29" x14ac:dyDescent="0.2">
      <c r="C201" s="95">
        <v>148</v>
      </c>
      <c r="D201" s="101">
        <f t="shared" si="192"/>
        <v>0</v>
      </c>
      <c r="E201" s="101">
        <f t="shared" si="193"/>
        <v>0</v>
      </c>
      <c r="F201" s="101">
        <f t="shared" si="194"/>
        <v>0</v>
      </c>
      <c r="G201" s="688">
        <f t="shared" si="195"/>
        <v>0</v>
      </c>
      <c r="H201" s="689"/>
      <c r="J201" s="95">
        <v>148</v>
      </c>
      <c r="K201" s="96">
        <f t="shared" si="196"/>
        <v>0</v>
      </c>
      <c r="L201" s="96">
        <f t="shared" si="197"/>
        <v>0</v>
      </c>
      <c r="M201" s="96">
        <f t="shared" si="198"/>
        <v>0</v>
      </c>
      <c r="N201" s="688">
        <f t="shared" si="199"/>
        <v>0</v>
      </c>
      <c r="O201" s="689"/>
      <c r="Q201" s="95">
        <v>148</v>
      </c>
      <c r="R201" s="101">
        <f t="shared" si="200"/>
        <v>0</v>
      </c>
      <c r="S201" s="101">
        <f t="shared" si="201"/>
        <v>0</v>
      </c>
      <c r="T201" s="101">
        <f t="shared" si="202"/>
        <v>0</v>
      </c>
      <c r="U201" s="688">
        <f t="shared" si="203"/>
        <v>0</v>
      </c>
      <c r="V201" s="689"/>
      <c r="X201" s="95">
        <v>148</v>
      </c>
      <c r="Y201" s="101">
        <f t="shared" si="204"/>
        <v>0</v>
      </c>
      <c r="Z201" s="101">
        <f t="shared" si="205"/>
        <v>0</v>
      </c>
      <c r="AA201" s="101">
        <f t="shared" si="206"/>
        <v>0</v>
      </c>
      <c r="AB201" s="688">
        <f t="shared" si="207"/>
        <v>0</v>
      </c>
      <c r="AC201" s="689"/>
    </row>
    <row r="202" spans="3:29" x14ac:dyDescent="0.2">
      <c r="C202" s="95">
        <v>149</v>
      </c>
      <c r="D202" s="101" t="str">
        <f t="shared" si="192"/>
        <v>$0.00</v>
      </c>
      <c r="E202" s="101" t="str">
        <f t="shared" si="193"/>
        <v>$0.00</v>
      </c>
      <c r="F202" s="101" t="str">
        <f t="shared" si="194"/>
        <v>$0.00</v>
      </c>
      <c r="G202" s="688" t="str">
        <f t="shared" si="195"/>
        <v>$0.00</v>
      </c>
      <c r="H202" s="689"/>
      <c r="J202" s="95">
        <v>149</v>
      </c>
      <c r="K202" s="96">
        <f t="shared" si="196"/>
        <v>0</v>
      </c>
      <c r="L202" s="96">
        <f t="shared" si="197"/>
        <v>0</v>
      </c>
      <c r="M202" s="96">
        <f t="shared" si="198"/>
        <v>0</v>
      </c>
      <c r="N202" s="688">
        <f t="shared" si="199"/>
        <v>0</v>
      </c>
      <c r="O202" s="689"/>
      <c r="Q202" s="95">
        <v>149</v>
      </c>
      <c r="R202" s="101" t="str">
        <f t="shared" si="200"/>
        <v>$0.00</v>
      </c>
      <c r="S202" s="101" t="str">
        <f t="shared" si="201"/>
        <v>$0.00</v>
      </c>
      <c r="T202" s="101" t="str">
        <f t="shared" si="202"/>
        <v>$0.00</v>
      </c>
      <c r="U202" s="688" t="str">
        <f t="shared" si="203"/>
        <v>$0.00</v>
      </c>
      <c r="V202" s="689"/>
      <c r="X202" s="95">
        <v>149</v>
      </c>
      <c r="Y202" s="101" t="str">
        <f t="shared" si="204"/>
        <v>$0.00</v>
      </c>
      <c r="Z202" s="101" t="str">
        <f t="shared" si="205"/>
        <v>$0.00</v>
      </c>
      <c r="AA202" s="101" t="str">
        <f t="shared" si="206"/>
        <v>$0.00</v>
      </c>
      <c r="AB202" s="688" t="str">
        <f t="shared" si="207"/>
        <v>$0.00</v>
      </c>
      <c r="AC202" s="689"/>
    </row>
    <row r="203" spans="3:29" x14ac:dyDescent="0.2">
      <c r="C203" s="95">
        <v>150</v>
      </c>
      <c r="D203" s="101">
        <f t="shared" si="192"/>
        <v>0</v>
      </c>
      <c r="E203" s="101">
        <f t="shared" si="193"/>
        <v>0</v>
      </c>
      <c r="F203" s="101">
        <f t="shared" si="194"/>
        <v>0</v>
      </c>
      <c r="G203" s="688">
        <f t="shared" si="195"/>
        <v>0</v>
      </c>
      <c r="H203" s="689"/>
      <c r="J203" s="95">
        <v>150</v>
      </c>
      <c r="K203" s="96">
        <f t="shared" si="196"/>
        <v>0</v>
      </c>
      <c r="L203" s="96">
        <f t="shared" si="197"/>
        <v>0</v>
      </c>
      <c r="M203" s="96">
        <f t="shared" si="198"/>
        <v>0</v>
      </c>
      <c r="N203" s="688">
        <f t="shared" si="199"/>
        <v>0</v>
      </c>
      <c r="O203" s="689"/>
      <c r="Q203" s="95">
        <v>150</v>
      </c>
      <c r="R203" s="101">
        <f t="shared" si="200"/>
        <v>0</v>
      </c>
      <c r="S203" s="101">
        <f t="shared" si="201"/>
        <v>0</v>
      </c>
      <c r="T203" s="101">
        <f t="shared" si="202"/>
        <v>0</v>
      </c>
      <c r="U203" s="688">
        <f t="shared" si="203"/>
        <v>0</v>
      </c>
      <c r="V203" s="689"/>
      <c r="X203" s="95">
        <v>150</v>
      </c>
      <c r="Y203" s="101">
        <f t="shared" si="204"/>
        <v>0</v>
      </c>
      <c r="Z203" s="101">
        <f t="shared" si="205"/>
        <v>0</v>
      </c>
      <c r="AA203" s="101">
        <f t="shared" si="206"/>
        <v>0</v>
      </c>
      <c r="AB203" s="688">
        <f t="shared" si="207"/>
        <v>0</v>
      </c>
      <c r="AC203" s="689"/>
    </row>
    <row r="204" spans="3:29" x14ac:dyDescent="0.2">
      <c r="C204" s="95">
        <v>151</v>
      </c>
      <c r="D204" s="101" t="str">
        <f t="shared" si="192"/>
        <v>$0.00</v>
      </c>
      <c r="E204" s="101" t="str">
        <f t="shared" si="193"/>
        <v>$0.00</v>
      </c>
      <c r="F204" s="101" t="str">
        <f t="shared" si="194"/>
        <v>$0.00</v>
      </c>
      <c r="G204" s="688" t="str">
        <f t="shared" si="195"/>
        <v>$0.00</v>
      </c>
      <c r="H204" s="689"/>
      <c r="J204" s="95">
        <v>151</v>
      </c>
      <c r="K204" s="96">
        <f t="shared" si="196"/>
        <v>0</v>
      </c>
      <c r="L204" s="96">
        <f t="shared" si="197"/>
        <v>0</v>
      </c>
      <c r="M204" s="96">
        <f t="shared" si="198"/>
        <v>0</v>
      </c>
      <c r="N204" s="688">
        <f t="shared" si="199"/>
        <v>0</v>
      </c>
      <c r="O204" s="689"/>
      <c r="Q204" s="95">
        <v>151</v>
      </c>
      <c r="R204" s="101" t="str">
        <f t="shared" si="200"/>
        <v>$0.00</v>
      </c>
      <c r="S204" s="101" t="str">
        <f t="shared" si="201"/>
        <v>$0.00</v>
      </c>
      <c r="T204" s="101" t="str">
        <f t="shared" si="202"/>
        <v>$0.00</v>
      </c>
      <c r="U204" s="688" t="str">
        <f t="shared" si="203"/>
        <v>$0.00</v>
      </c>
      <c r="V204" s="689"/>
      <c r="X204" s="95">
        <v>151</v>
      </c>
      <c r="Y204" s="101" t="str">
        <f t="shared" si="204"/>
        <v>$0.00</v>
      </c>
      <c r="Z204" s="101" t="str">
        <f t="shared" si="205"/>
        <v>$0.00</v>
      </c>
      <c r="AA204" s="101" t="str">
        <f t="shared" si="206"/>
        <v>$0.00</v>
      </c>
      <c r="AB204" s="688" t="str">
        <f t="shared" si="207"/>
        <v>$0.00</v>
      </c>
      <c r="AC204" s="689"/>
    </row>
    <row r="205" spans="3:29" x14ac:dyDescent="0.2">
      <c r="C205" s="95">
        <v>152</v>
      </c>
      <c r="D205" s="101">
        <f t="shared" si="192"/>
        <v>0</v>
      </c>
      <c r="E205" s="101">
        <f t="shared" si="193"/>
        <v>0</v>
      </c>
      <c r="F205" s="101">
        <f t="shared" si="194"/>
        <v>0</v>
      </c>
      <c r="G205" s="688">
        <f t="shared" si="195"/>
        <v>0</v>
      </c>
      <c r="H205" s="689"/>
      <c r="J205" s="95">
        <v>152</v>
      </c>
      <c r="K205" s="96">
        <f t="shared" si="196"/>
        <v>0</v>
      </c>
      <c r="L205" s="96">
        <f t="shared" si="197"/>
        <v>0</v>
      </c>
      <c r="M205" s="96">
        <f t="shared" si="198"/>
        <v>0</v>
      </c>
      <c r="N205" s="688">
        <f t="shared" si="199"/>
        <v>0</v>
      </c>
      <c r="O205" s="689"/>
      <c r="Q205" s="95">
        <v>152</v>
      </c>
      <c r="R205" s="101">
        <f t="shared" si="200"/>
        <v>0</v>
      </c>
      <c r="S205" s="101">
        <f t="shared" si="201"/>
        <v>0</v>
      </c>
      <c r="T205" s="101">
        <f t="shared" si="202"/>
        <v>0</v>
      </c>
      <c r="U205" s="688">
        <f t="shared" si="203"/>
        <v>0</v>
      </c>
      <c r="V205" s="689"/>
      <c r="X205" s="95">
        <v>152</v>
      </c>
      <c r="Y205" s="101">
        <f t="shared" si="204"/>
        <v>0</v>
      </c>
      <c r="Z205" s="101">
        <f t="shared" si="205"/>
        <v>0</v>
      </c>
      <c r="AA205" s="101">
        <f t="shared" si="206"/>
        <v>0</v>
      </c>
      <c r="AB205" s="688">
        <f t="shared" si="207"/>
        <v>0</v>
      </c>
      <c r="AC205" s="689"/>
    </row>
    <row r="206" spans="3:29" x14ac:dyDescent="0.2">
      <c r="C206" s="95">
        <v>153</v>
      </c>
      <c r="D206" s="101" t="str">
        <f t="shared" si="192"/>
        <v>$0.00</v>
      </c>
      <c r="E206" s="101" t="str">
        <f t="shared" si="193"/>
        <v>$0.00</v>
      </c>
      <c r="F206" s="101" t="str">
        <f t="shared" si="194"/>
        <v>$0.00</v>
      </c>
      <c r="G206" s="688" t="str">
        <f t="shared" si="195"/>
        <v>$0.00</v>
      </c>
      <c r="H206" s="689"/>
      <c r="J206" s="95">
        <v>153</v>
      </c>
      <c r="K206" s="96">
        <f t="shared" si="196"/>
        <v>0</v>
      </c>
      <c r="L206" s="96">
        <f t="shared" si="197"/>
        <v>0</v>
      </c>
      <c r="M206" s="96">
        <f t="shared" si="198"/>
        <v>0</v>
      </c>
      <c r="N206" s="688">
        <f t="shared" si="199"/>
        <v>0</v>
      </c>
      <c r="O206" s="689"/>
      <c r="Q206" s="95">
        <v>153</v>
      </c>
      <c r="R206" s="101" t="str">
        <f t="shared" si="200"/>
        <v>$0.00</v>
      </c>
      <c r="S206" s="101" t="str">
        <f t="shared" si="201"/>
        <v>$0.00</v>
      </c>
      <c r="T206" s="101" t="str">
        <f t="shared" si="202"/>
        <v>$0.00</v>
      </c>
      <c r="U206" s="688" t="str">
        <f t="shared" si="203"/>
        <v>$0.00</v>
      </c>
      <c r="V206" s="689"/>
      <c r="X206" s="95">
        <v>153</v>
      </c>
      <c r="Y206" s="101" t="str">
        <f t="shared" si="204"/>
        <v>$0.00</v>
      </c>
      <c r="Z206" s="101" t="str">
        <f t="shared" si="205"/>
        <v>$0.00</v>
      </c>
      <c r="AA206" s="101" t="str">
        <f t="shared" si="206"/>
        <v>$0.00</v>
      </c>
      <c r="AB206" s="688" t="str">
        <f t="shared" si="207"/>
        <v>$0.00</v>
      </c>
      <c r="AC206" s="689"/>
    </row>
    <row r="207" spans="3:29" x14ac:dyDescent="0.2">
      <c r="C207" s="95">
        <v>154</v>
      </c>
      <c r="D207" s="101">
        <f t="shared" si="192"/>
        <v>0</v>
      </c>
      <c r="E207" s="101">
        <f t="shared" si="193"/>
        <v>0</v>
      </c>
      <c r="F207" s="101">
        <f t="shared" si="194"/>
        <v>0</v>
      </c>
      <c r="G207" s="688">
        <f t="shared" si="195"/>
        <v>0</v>
      </c>
      <c r="H207" s="689"/>
      <c r="J207" s="95">
        <v>154</v>
      </c>
      <c r="K207" s="96">
        <f t="shared" si="196"/>
        <v>0</v>
      </c>
      <c r="L207" s="96">
        <f t="shared" si="197"/>
        <v>0</v>
      </c>
      <c r="M207" s="96">
        <f t="shared" si="198"/>
        <v>0</v>
      </c>
      <c r="N207" s="688">
        <f t="shared" si="199"/>
        <v>0</v>
      </c>
      <c r="O207" s="689"/>
      <c r="Q207" s="95">
        <v>154</v>
      </c>
      <c r="R207" s="101">
        <f t="shared" si="200"/>
        <v>0</v>
      </c>
      <c r="S207" s="101">
        <f t="shared" si="201"/>
        <v>0</v>
      </c>
      <c r="T207" s="101">
        <f t="shared" si="202"/>
        <v>0</v>
      </c>
      <c r="U207" s="688">
        <f t="shared" si="203"/>
        <v>0</v>
      </c>
      <c r="V207" s="689"/>
      <c r="X207" s="95">
        <v>154</v>
      </c>
      <c r="Y207" s="101">
        <f t="shared" si="204"/>
        <v>0</v>
      </c>
      <c r="Z207" s="101">
        <f t="shared" si="205"/>
        <v>0</v>
      </c>
      <c r="AA207" s="101">
        <f t="shared" si="206"/>
        <v>0</v>
      </c>
      <c r="AB207" s="688">
        <f t="shared" si="207"/>
        <v>0</v>
      </c>
      <c r="AC207" s="689"/>
    </row>
    <row r="208" spans="3:29" x14ac:dyDescent="0.2">
      <c r="C208" s="95">
        <v>155</v>
      </c>
      <c r="D208" s="101" t="str">
        <f t="shared" si="192"/>
        <v>$0.00</v>
      </c>
      <c r="E208" s="101" t="str">
        <f t="shared" si="193"/>
        <v>$0.00</v>
      </c>
      <c r="F208" s="101" t="str">
        <f t="shared" si="194"/>
        <v>$0.00</v>
      </c>
      <c r="G208" s="688" t="str">
        <f t="shared" si="195"/>
        <v>$0.00</v>
      </c>
      <c r="H208" s="689"/>
      <c r="J208" s="95">
        <v>155</v>
      </c>
      <c r="K208" s="96">
        <f t="shared" si="196"/>
        <v>0</v>
      </c>
      <c r="L208" s="96">
        <f t="shared" si="197"/>
        <v>0</v>
      </c>
      <c r="M208" s="96">
        <f t="shared" si="198"/>
        <v>0</v>
      </c>
      <c r="N208" s="688">
        <f t="shared" si="199"/>
        <v>0</v>
      </c>
      <c r="O208" s="689"/>
      <c r="Q208" s="95">
        <v>155</v>
      </c>
      <c r="R208" s="101" t="str">
        <f t="shared" si="200"/>
        <v>$0.00</v>
      </c>
      <c r="S208" s="101" t="str">
        <f t="shared" si="201"/>
        <v>$0.00</v>
      </c>
      <c r="T208" s="101" t="str">
        <f t="shared" si="202"/>
        <v>$0.00</v>
      </c>
      <c r="U208" s="688" t="str">
        <f t="shared" si="203"/>
        <v>$0.00</v>
      </c>
      <c r="V208" s="689"/>
      <c r="X208" s="95">
        <v>155</v>
      </c>
      <c r="Y208" s="101" t="str">
        <f t="shared" si="204"/>
        <v>$0.00</v>
      </c>
      <c r="Z208" s="101" t="str">
        <f t="shared" si="205"/>
        <v>$0.00</v>
      </c>
      <c r="AA208" s="101" t="str">
        <f t="shared" si="206"/>
        <v>$0.00</v>
      </c>
      <c r="AB208" s="688" t="str">
        <f t="shared" si="207"/>
        <v>$0.00</v>
      </c>
      <c r="AC208" s="689"/>
    </row>
    <row r="209" spans="3:29" x14ac:dyDescent="0.2">
      <c r="C209" s="95">
        <v>156</v>
      </c>
      <c r="D209" s="101">
        <f t="shared" si="192"/>
        <v>0</v>
      </c>
      <c r="E209" s="101">
        <f t="shared" si="193"/>
        <v>0</v>
      </c>
      <c r="F209" s="101">
        <f t="shared" si="194"/>
        <v>0</v>
      </c>
      <c r="G209" s="690">
        <f t="shared" si="195"/>
        <v>0</v>
      </c>
      <c r="H209" s="691"/>
      <c r="J209" s="95">
        <v>156</v>
      </c>
      <c r="K209" s="96">
        <f t="shared" si="196"/>
        <v>0</v>
      </c>
      <c r="L209" s="96">
        <f t="shared" si="197"/>
        <v>0</v>
      </c>
      <c r="M209" s="96">
        <f t="shared" si="198"/>
        <v>0</v>
      </c>
      <c r="N209" s="690">
        <f t="shared" si="199"/>
        <v>0</v>
      </c>
      <c r="O209" s="691"/>
      <c r="Q209" s="95">
        <v>156</v>
      </c>
      <c r="R209" s="101">
        <f t="shared" si="200"/>
        <v>0</v>
      </c>
      <c r="S209" s="101">
        <f t="shared" si="201"/>
        <v>0</v>
      </c>
      <c r="T209" s="101">
        <f t="shared" si="202"/>
        <v>0</v>
      </c>
      <c r="U209" s="690">
        <f t="shared" si="203"/>
        <v>0</v>
      </c>
      <c r="V209" s="691"/>
      <c r="X209" s="95">
        <v>156</v>
      </c>
      <c r="Y209" s="101">
        <f t="shared" si="204"/>
        <v>0</v>
      </c>
      <c r="Z209" s="101">
        <f t="shared" si="205"/>
        <v>0</v>
      </c>
      <c r="AA209" s="101">
        <f t="shared" si="206"/>
        <v>0</v>
      </c>
      <c r="AB209" s="690">
        <f t="shared" si="207"/>
        <v>0</v>
      </c>
      <c r="AC209" s="691"/>
    </row>
    <row r="210" spans="3:29" x14ac:dyDescent="0.2">
      <c r="C210" s="97" t="s">
        <v>783</v>
      </c>
      <c r="D210" s="104">
        <f>SUM(D198:D209)</f>
        <v>0</v>
      </c>
      <c r="E210" s="104">
        <f>SUM(E198:E209)</f>
        <v>0</v>
      </c>
      <c r="F210" s="104">
        <f>SUM(F198:F209)</f>
        <v>0</v>
      </c>
      <c r="G210" s="692">
        <f>G209</f>
        <v>0</v>
      </c>
      <c r="H210" s="693"/>
      <c r="J210" s="97" t="s">
        <v>783</v>
      </c>
      <c r="K210" s="86">
        <f>SUM(K198:K209)</f>
        <v>0</v>
      </c>
      <c r="L210" s="86">
        <f>SUM(L198:L209)</f>
        <v>0</v>
      </c>
      <c r="M210" s="86">
        <f>SUM(M198:M209)</f>
        <v>0</v>
      </c>
      <c r="N210" s="692">
        <f>N209</f>
        <v>0</v>
      </c>
      <c r="O210" s="711"/>
      <c r="Q210" s="97" t="s">
        <v>783</v>
      </c>
      <c r="R210" s="104">
        <f>SUM(R198:R209)</f>
        <v>0</v>
      </c>
      <c r="S210" s="104">
        <f>SUM(S198:S209)</f>
        <v>0</v>
      </c>
      <c r="T210" s="104">
        <f>SUM(T198:T209)</f>
        <v>0</v>
      </c>
      <c r="U210" s="692">
        <f>U209</f>
        <v>0</v>
      </c>
      <c r="V210" s="693"/>
      <c r="X210" s="97" t="s">
        <v>783</v>
      </c>
      <c r="Y210" s="104">
        <f>SUM(Y198:Y209)</f>
        <v>0</v>
      </c>
      <c r="Z210" s="104">
        <f>SUM(Z198:Z209)</f>
        <v>0</v>
      </c>
      <c r="AA210" s="104">
        <f>SUM(AA198:AA209)</f>
        <v>0</v>
      </c>
      <c r="AB210" s="692">
        <f>AB209</f>
        <v>0</v>
      </c>
      <c r="AC210" s="693"/>
    </row>
    <row r="211" spans="3:29" x14ac:dyDescent="0.2">
      <c r="C211" s="95">
        <v>157</v>
      </c>
      <c r="D211" s="101" t="str">
        <f t="shared" ref="D211:D222" si="208">IF(G210&gt;0,G210*($E$36)/12,"$0.00")</f>
        <v>$0.00</v>
      </c>
      <c r="E211" s="101" t="str">
        <f t="shared" ref="E211:E222" si="209">IF(G210&gt;0,IF($E$38=4,"$0.00",IF($E$38=3,"$0.00",IF($E$38=2,"$0.00",+$G$39-D211))),"$0.00")</f>
        <v>$0.00</v>
      </c>
      <c r="F211" s="101" t="str">
        <f t="shared" ref="F211:F222" si="210">IF(G210=0,"$0.00",IF($E$38=4,"$0.00",IF($E$38=3,"$0.00",IF($E$38=2,D211,D211+E211))))</f>
        <v>$0.00</v>
      </c>
      <c r="G211" s="688" t="str">
        <f t="shared" ref="G211:G222" si="211">IF(G210=0,"$0.00",IF($E$38=4,G210+D211,IF($E$38=3,G210+D211,IF($E$38=2,G210,G210-E211))))</f>
        <v>$0.00</v>
      </c>
      <c r="H211" s="689"/>
      <c r="J211" s="95">
        <v>157</v>
      </c>
      <c r="K211" s="96">
        <f t="shared" ref="K211:K222" si="212">N210*($L$36)/12</f>
        <v>0</v>
      </c>
      <c r="L211" s="96">
        <f t="shared" ref="L211:L222" si="213">IF(L207=4,"$0.00",+$N$39-K211)</f>
        <v>0</v>
      </c>
      <c r="M211" s="96">
        <f t="shared" ref="M211:M222" si="214">IF(L207=4,"$0.00",K211+L211)</f>
        <v>0</v>
      </c>
      <c r="N211" s="709">
        <f t="shared" ref="N211:N222" si="215">IF(L207=4,N210+K211,N210-L211)</f>
        <v>0</v>
      </c>
      <c r="O211" s="710"/>
      <c r="Q211" s="95">
        <v>157</v>
      </c>
      <c r="R211" s="101" t="str">
        <f t="shared" ref="R211:R222" si="216">IF(U210&gt;0,U210*($S$36)/12,"$0.00")</f>
        <v>$0.00</v>
      </c>
      <c r="S211" s="101" t="str">
        <f t="shared" ref="S211:S222" si="217">IF(U210&gt;0,IF($S$38=4,"$0.00",IF($S$38=3,"$0.00",IF($S$38=2,"$0.00",+$U$39-R211))),"$0.00")</f>
        <v>$0.00</v>
      </c>
      <c r="T211" s="101" t="str">
        <f t="shared" ref="T211:T222" si="218">IF(U210=0,"$0.00",IF($S$38=4,"$0.00",IF($S$38=3,"$0.00",IF($S$38=2,R211,R211+S211))))</f>
        <v>$0.00</v>
      </c>
      <c r="U211" s="688" t="str">
        <f t="shared" ref="U211:U222" si="219">IF(U210=0,"$0.00",IF($S$38=4,U210+R211,IF($S$38=3,U210+R211,IF($S$38=2,U210,U210-S211))))</f>
        <v>$0.00</v>
      </c>
      <c r="V211" s="689"/>
      <c r="X211" s="95">
        <v>157</v>
      </c>
      <c r="Y211" s="101" t="str">
        <f t="shared" ref="Y211:Y222" si="220">IF(AB210&gt;0,AB210*($Z$36)/12,"$0.00")</f>
        <v>$0.00</v>
      </c>
      <c r="Z211" s="101" t="str">
        <f t="shared" ref="Z211:Z222" si="221">IF(AB210&gt;0,IF($Z$38=4,"$0.00",IF($Z$38=3,"$0.00",IF($Z$38=2,"$0.00",+$AB$39-Y211))),"$0.00")</f>
        <v>$0.00</v>
      </c>
      <c r="AA211" s="101" t="str">
        <f t="shared" ref="AA211:AA222" si="222">IF(AB210=0,"$0.00",IF($Z$38=4,"$0.00",IF($Z$38=3,"$0.00",IF($Z$38=2,Y211,Y211+Z211))))</f>
        <v>$0.00</v>
      </c>
      <c r="AB211" s="688" t="str">
        <f t="shared" ref="AB211:AB222" si="223">IF(AB210=0,"$0.00",IF($Z$38=4,AB210+Y211,IF($Z$38=3,AB210+Y211,IF($Z$38=2,AB210,AB210-Z211))))</f>
        <v>$0.00</v>
      </c>
      <c r="AC211" s="689"/>
    </row>
    <row r="212" spans="3:29" x14ac:dyDescent="0.2">
      <c r="C212" s="95">
        <v>158</v>
      </c>
      <c r="D212" s="101">
        <f t="shared" si="208"/>
        <v>0</v>
      </c>
      <c r="E212" s="101">
        <f t="shared" si="209"/>
        <v>0</v>
      </c>
      <c r="F212" s="101">
        <f t="shared" si="210"/>
        <v>0</v>
      </c>
      <c r="G212" s="688">
        <f t="shared" si="211"/>
        <v>0</v>
      </c>
      <c r="H212" s="689"/>
      <c r="J212" s="95">
        <v>158</v>
      </c>
      <c r="K212" s="96">
        <f t="shared" si="212"/>
        <v>0</v>
      </c>
      <c r="L212" s="96">
        <f t="shared" si="213"/>
        <v>0</v>
      </c>
      <c r="M212" s="96">
        <f t="shared" si="214"/>
        <v>0</v>
      </c>
      <c r="N212" s="688">
        <f t="shared" si="215"/>
        <v>0</v>
      </c>
      <c r="O212" s="689"/>
      <c r="Q212" s="95">
        <v>158</v>
      </c>
      <c r="R212" s="101">
        <f t="shared" si="216"/>
        <v>0</v>
      </c>
      <c r="S212" s="101">
        <f t="shared" si="217"/>
        <v>0</v>
      </c>
      <c r="T212" s="101">
        <f t="shared" si="218"/>
        <v>0</v>
      </c>
      <c r="U212" s="688">
        <f t="shared" si="219"/>
        <v>0</v>
      </c>
      <c r="V212" s="689"/>
      <c r="X212" s="95">
        <v>158</v>
      </c>
      <c r="Y212" s="101">
        <f t="shared" si="220"/>
        <v>0</v>
      </c>
      <c r="Z212" s="101">
        <f t="shared" si="221"/>
        <v>0</v>
      </c>
      <c r="AA212" s="101">
        <f t="shared" si="222"/>
        <v>0</v>
      </c>
      <c r="AB212" s="688">
        <f t="shared" si="223"/>
        <v>0</v>
      </c>
      <c r="AC212" s="689"/>
    </row>
    <row r="213" spans="3:29" x14ac:dyDescent="0.2">
      <c r="C213" s="95">
        <v>159</v>
      </c>
      <c r="D213" s="101" t="str">
        <f t="shared" si="208"/>
        <v>$0.00</v>
      </c>
      <c r="E213" s="101" t="str">
        <f t="shared" si="209"/>
        <v>$0.00</v>
      </c>
      <c r="F213" s="101" t="str">
        <f t="shared" si="210"/>
        <v>$0.00</v>
      </c>
      <c r="G213" s="688" t="str">
        <f t="shared" si="211"/>
        <v>$0.00</v>
      </c>
      <c r="H213" s="689"/>
      <c r="J213" s="95">
        <v>159</v>
      </c>
      <c r="K213" s="96">
        <f t="shared" si="212"/>
        <v>0</v>
      </c>
      <c r="L213" s="96">
        <f t="shared" si="213"/>
        <v>0</v>
      </c>
      <c r="M213" s="96">
        <f t="shared" si="214"/>
        <v>0</v>
      </c>
      <c r="N213" s="688">
        <f t="shared" si="215"/>
        <v>0</v>
      </c>
      <c r="O213" s="689"/>
      <c r="Q213" s="95">
        <v>159</v>
      </c>
      <c r="R213" s="101" t="str">
        <f t="shared" si="216"/>
        <v>$0.00</v>
      </c>
      <c r="S213" s="101" t="str">
        <f t="shared" si="217"/>
        <v>$0.00</v>
      </c>
      <c r="T213" s="101" t="str">
        <f t="shared" si="218"/>
        <v>$0.00</v>
      </c>
      <c r="U213" s="688" t="str">
        <f t="shared" si="219"/>
        <v>$0.00</v>
      </c>
      <c r="V213" s="689"/>
      <c r="X213" s="95">
        <v>159</v>
      </c>
      <c r="Y213" s="101" t="str">
        <f t="shared" si="220"/>
        <v>$0.00</v>
      </c>
      <c r="Z213" s="101" t="str">
        <f t="shared" si="221"/>
        <v>$0.00</v>
      </c>
      <c r="AA213" s="101" t="str">
        <f t="shared" si="222"/>
        <v>$0.00</v>
      </c>
      <c r="AB213" s="688" t="str">
        <f t="shared" si="223"/>
        <v>$0.00</v>
      </c>
      <c r="AC213" s="689"/>
    </row>
    <row r="214" spans="3:29" x14ac:dyDescent="0.2">
      <c r="C214" s="95">
        <v>160</v>
      </c>
      <c r="D214" s="101">
        <f t="shared" si="208"/>
        <v>0</v>
      </c>
      <c r="E214" s="101">
        <f t="shared" si="209"/>
        <v>0</v>
      </c>
      <c r="F214" s="101">
        <f t="shared" si="210"/>
        <v>0</v>
      </c>
      <c r="G214" s="688">
        <f t="shared" si="211"/>
        <v>0</v>
      </c>
      <c r="H214" s="689"/>
      <c r="J214" s="95">
        <v>160</v>
      </c>
      <c r="K214" s="96">
        <f t="shared" si="212"/>
        <v>0</v>
      </c>
      <c r="L214" s="96">
        <f t="shared" si="213"/>
        <v>0</v>
      </c>
      <c r="M214" s="96">
        <f t="shared" si="214"/>
        <v>0</v>
      </c>
      <c r="N214" s="688">
        <f t="shared" si="215"/>
        <v>0</v>
      </c>
      <c r="O214" s="689"/>
      <c r="Q214" s="95">
        <v>160</v>
      </c>
      <c r="R214" s="101">
        <f t="shared" si="216"/>
        <v>0</v>
      </c>
      <c r="S214" s="101">
        <f t="shared" si="217"/>
        <v>0</v>
      </c>
      <c r="T214" s="101">
        <f t="shared" si="218"/>
        <v>0</v>
      </c>
      <c r="U214" s="688">
        <f t="shared" si="219"/>
        <v>0</v>
      </c>
      <c r="V214" s="689"/>
      <c r="X214" s="95">
        <v>160</v>
      </c>
      <c r="Y214" s="101">
        <f t="shared" si="220"/>
        <v>0</v>
      </c>
      <c r="Z214" s="101">
        <f t="shared" si="221"/>
        <v>0</v>
      </c>
      <c r="AA214" s="101">
        <f t="shared" si="222"/>
        <v>0</v>
      </c>
      <c r="AB214" s="688">
        <f t="shared" si="223"/>
        <v>0</v>
      </c>
      <c r="AC214" s="689"/>
    </row>
    <row r="215" spans="3:29" x14ac:dyDescent="0.2">
      <c r="C215" s="95">
        <v>161</v>
      </c>
      <c r="D215" s="101" t="str">
        <f t="shared" si="208"/>
        <v>$0.00</v>
      </c>
      <c r="E215" s="101" t="str">
        <f t="shared" si="209"/>
        <v>$0.00</v>
      </c>
      <c r="F215" s="101" t="str">
        <f t="shared" si="210"/>
        <v>$0.00</v>
      </c>
      <c r="G215" s="688" t="str">
        <f t="shared" si="211"/>
        <v>$0.00</v>
      </c>
      <c r="H215" s="689"/>
      <c r="J215" s="95">
        <v>161</v>
      </c>
      <c r="K215" s="96">
        <f t="shared" si="212"/>
        <v>0</v>
      </c>
      <c r="L215" s="96">
        <f t="shared" si="213"/>
        <v>0</v>
      </c>
      <c r="M215" s="96">
        <f t="shared" si="214"/>
        <v>0</v>
      </c>
      <c r="N215" s="688">
        <f t="shared" si="215"/>
        <v>0</v>
      </c>
      <c r="O215" s="689"/>
      <c r="Q215" s="95">
        <v>161</v>
      </c>
      <c r="R215" s="101" t="str">
        <f t="shared" si="216"/>
        <v>$0.00</v>
      </c>
      <c r="S215" s="101" t="str">
        <f t="shared" si="217"/>
        <v>$0.00</v>
      </c>
      <c r="T215" s="101" t="str">
        <f t="shared" si="218"/>
        <v>$0.00</v>
      </c>
      <c r="U215" s="688" t="str">
        <f t="shared" si="219"/>
        <v>$0.00</v>
      </c>
      <c r="V215" s="689"/>
      <c r="X215" s="95">
        <v>161</v>
      </c>
      <c r="Y215" s="101" t="str">
        <f t="shared" si="220"/>
        <v>$0.00</v>
      </c>
      <c r="Z215" s="101" t="str">
        <f t="shared" si="221"/>
        <v>$0.00</v>
      </c>
      <c r="AA215" s="101" t="str">
        <f t="shared" si="222"/>
        <v>$0.00</v>
      </c>
      <c r="AB215" s="688" t="str">
        <f t="shared" si="223"/>
        <v>$0.00</v>
      </c>
      <c r="AC215" s="689"/>
    </row>
    <row r="216" spans="3:29" x14ac:dyDescent="0.2">
      <c r="C216" s="95">
        <v>162</v>
      </c>
      <c r="D216" s="101">
        <f t="shared" si="208"/>
        <v>0</v>
      </c>
      <c r="E216" s="101">
        <f t="shared" si="209"/>
        <v>0</v>
      </c>
      <c r="F216" s="101">
        <f t="shared" si="210"/>
        <v>0</v>
      </c>
      <c r="G216" s="688">
        <f t="shared" si="211"/>
        <v>0</v>
      </c>
      <c r="H216" s="689"/>
      <c r="J216" s="95">
        <v>162</v>
      </c>
      <c r="K216" s="96">
        <f t="shared" si="212"/>
        <v>0</v>
      </c>
      <c r="L216" s="96">
        <f t="shared" si="213"/>
        <v>0</v>
      </c>
      <c r="M216" s="96">
        <f t="shared" si="214"/>
        <v>0</v>
      </c>
      <c r="N216" s="688">
        <f t="shared" si="215"/>
        <v>0</v>
      </c>
      <c r="O216" s="689"/>
      <c r="Q216" s="95">
        <v>162</v>
      </c>
      <c r="R216" s="101">
        <f t="shared" si="216"/>
        <v>0</v>
      </c>
      <c r="S216" s="101">
        <f t="shared" si="217"/>
        <v>0</v>
      </c>
      <c r="T216" s="101">
        <f t="shared" si="218"/>
        <v>0</v>
      </c>
      <c r="U216" s="688">
        <f t="shared" si="219"/>
        <v>0</v>
      </c>
      <c r="V216" s="689"/>
      <c r="X216" s="95">
        <v>162</v>
      </c>
      <c r="Y216" s="101">
        <f t="shared" si="220"/>
        <v>0</v>
      </c>
      <c r="Z216" s="101">
        <f t="shared" si="221"/>
        <v>0</v>
      </c>
      <c r="AA216" s="101">
        <f t="shared" si="222"/>
        <v>0</v>
      </c>
      <c r="AB216" s="688">
        <f t="shared" si="223"/>
        <v>0</v>
      </c>
      <c r="AC216" s="689"/>
    </row>
    <row r="217" spans="3:29" x14ac:dyDescent="0.2">
      <c r="C217" s="95">
        <v>163</v>
      </c>
      <c r="D217" s="101" t="str">
        <f t="shared" si="208"/>
        <v>$0.00</v>
      </c>
      <c r="E217" s="101" t="str">
        <f t="shared" si="209"/>
        <v>$0.00</v>
      </c>
      <c r="F217" s="101" t="str">
        <f t="shared" si="210"/>
        <v>$0.00</v>
      </c>
      <c r="G217" s="688" t="str">
        <f t="shared" si="211"/>
        <v>$0.00</v>
      </c>
      <c r="H217" s="689"/>
      <c r="J217" s="95">
        <v>163</v>
      </c>
      <c r="K217" s="96">
        <f t="shared" si="212"/>
        <v>0</v>
      </c>
      <c r="L217" s="96">
        <f t="shared" si="213"/>
        <v>0</v>
      </c>
      <c r="M217" s="96">
        <f t="shared" si="214"/>
        <v>0</v>
      </c>
      <c r="N217" s="688">
        <f t="shared" si="215"/>
        <v>0</v>
      </c>
      <c r="O217" s="689"/>
      <c r="Q217" s="95">
        <v>163</v>
      </c>
      <c r="R217" s="101" t="str">
        <f t="shared" si="216"/>
        <v>$0.00</v>
      </c>
      <c r="S217" s="101" t="str">
        <f t="shared" si="217"/>
        <v>$0.00</v>
      </c>
      <c r="T217" s="101" t="str">
        <f t="shared" si="218"/>
        <v>$0.00</v>
      </c>
      <c r="U217" s="688" t="str">
        <f t="shared" si="219"/>
        <v>$0.00</v>
      </c>
      <c r="V217" s="689"/>
      <c r="X217" s="95">
        <v>163</v>
      </c>
      <c r="Y217" s="101" t="str">
        <f t="shared" si="220"/>
        <v>$0.00</v>
      </c>
      <c r="Z217" s="101" t="str">
        <f t="shared" si="221"/>
        <v>$0.00</v>
      </c>
      <c r="AA217" s="101" t="str">
        <f t="shared" si="222"/>
        <v>$0.00</v>
      </c>
      <c r="AB217" s="688" t="str">
        <f t="shared" si="223"/>
        <v>$0.00</v>
      </c>
      <c r="AC217" s="689"/>
    </row>
    <row r="218" spans="3:29" x14ac:dyDescent="0.2">
      <c r="C218" s="95">
        <v>164</v>
      </c>
      <c r="D218" s="101">
        <f t="shared" si="208"/>
        <v>0</v>
      </c>
      <c r="E218" s="101">
        <f t="shared" si="209"/>
        <v>0</v>
      </c>
      <c r="F218" s="101">
        <f t="shared" si="210"/>
        <v>0</v>
      </c>
      <c r="G218" s="688">
        <f t="shared" si="211"/>
        <v>0</v>
      </c>
      <c r="H218" s="689"/>
      <c r="J218" s="95">
        <v>164</v>
      </c>
      <c r="K218" s="96">
        <f t="shared" si="212"/>
        <v>0</v>
      </c>
      <c r="L218" s="96">
        <f t="shared" si="213"/>
        <v>0</v>
      </c>
      <c r="M218" s="96">
        <f t="shared" si="214"/>
        <v>0</v>
      </c>
      <c r="N218" s="688">
        <f t="shared" si="215"/>
        <v>0</v>
      </c>
      <c r="O218" s="689"/>
      <c r="Q218" s="95">
        <v>164</v>
      </c>
      <c r="R218" s="101">
        <f t="shared" si="216"/>
        <v>0</v>
      </c>
      <c r="S218" s="101">
        <f t="shared" si="217"/>
        <v>0</v>
      </c>
      <c r="T218" s="101">
        <f t="shared" si="218"/>
        <v>0</v>
      </c>
      <c r="U218" s="688">
        <f t="shared" si="219"/>
        <v>0</v>
      </c>
      <c r="V218" s="689"/>
      <c r="X218" s="95">
        <v>164</v>
      </c>
      <c r="Y218" s="101">
        <f t="shared" si="220"/>
        <v>0</v>
      </c>
      <c r="Z218" s="101">
        <f t="shared" si="221"/>
        <v>0</v>
      </c>
      <c r="AA218" s="101">
        <f t="shared" si="222"/>
        <v>0</v>
      </c>
      <c r="AB218" s="688">
        <f t="shared" si="223"/>
        <v>0</v>
      </c>
      <c r="AC218" s="689"/>
    </row>
    <row r="219" spans="3:29" x14ac:dyDescent="0.2">
      <c r="C219" s="95">
        <v>165</v>
      </c>
      <c r="D219" s="101" t="str">
        <f t="shared" si="208"/>
        <v>$0.00</v>
      </c>
      <c r="E219" s="101" t="str">
        <f t="shared" si="209"/>
        <v>$0.00</v>
      </c>
      <c r="F219" s="101" t="str">
        <f t="shared" si="210"/>
        <v>$0.00</v>
      </c>
      <c r="G219" s="688" t="str">
        <f t="shared" si="211"/>
        <v>$0.00</v>
      </c>
      <c r="H219" s="689"/>
      <c r="J219" s="95">
        <v>165</v>
      </c>
      <c r="K219" s="96">
        <f t="shared" si="212"/>
        <v>0</v>
      </c>
      <c r="L219" s="96">
        <f t="shared" si="213"/>
        <v>0</v>
      </c>
      <c r="M219" s="96">
        <f t="shared" si="214"/>
        <v>0</v>
      </c>
      <c r="N219" s="688">
        <f t="shared" si="215"/>
        <v>0</v>
      </c>
      <c r="O219" s="689"/>
      <c r="Q219" s="95">
        <v>165</v>
      </c>
      <c r="R219" s="101" t="str">
        <f t="shared" si="216"/>
        <v>$0.00</v>
      </c>
      <c r="S219" s="101" t="str">
        <f t="shared" si="217"/>
        <v>$0.00</v>
      </c>
      <c r="T219" s="101" t="str">
        <f t="shared" si="218"/>
        <v>$0.00</v>
      </c>
      <c r="U219" s="688" t="str">
        <f t="shared" si="219"/>
        <v>$0.00</v>
      </c>
      <c r="V219" s="689"/>
      <c r="X219" s="95">
        <v>165</v>
      </c>
      <c r="Y219" s="101" t="str">
        <f t="shared" si="220"/>
        <v>$0.00</v>
      </c>
      <c r="Z219" s="101" t="str">
        <f t="shared" si="221"/>
        <v>$0.00</v>
      </c>
      <c r="AA219" s="101" t="str">
        <f t="shared" si="222"/>
        <v>$0.00</v>
      </c>
      <c r="AB219" s="688" t="str">
        <f t="shared" si="223"/>
        <v>$0.00</v>
      </c>
      <c r="AC219" s="689"/>
    </row>
    <row r="220" spans="3:29" x14ac:dyDescent="0.2">
      <c r="C220" s="95">
        <v>166</v>
      </c>
      <c r="D220" s="101">
        <f t="shared" si="208"/>
        <v>0</v>
      </c>
      <c r="E220" s="101">
        <f t="shared" si="209"/>
        <v>0</v>
      </c>
      <c r="F220" s="101">
        <f t="shared" si="210"/>
        <v>0</v>
      </c>
      <c r="G220" s="688">
        <f t="shared" si="211"/>
        <v>0</v>
      </c>
      <c r="H220" s="689"/>
      <c r="J220" s="95">
        <v>166</v>
      </c>
      <c r="K220" s="96">
        <f t="shared" si="212"/>
        <v>0</v>
      </c>
      <c r="L220" s="96">
        <f t="shared" si="213"/>
        <v>0</v>
      </c>
      <c r="M220" s="96">
        <f t="shared" si="214"/>
        <v>0</v>
      </c>
      <c r="N220" s="688">
        <f t="shared" si="215"/>
        <v>0</v>
      </c>
      <c r="O220" s="689"/>
      <c r="Q220" s="95">
        <v>166</v>
      </c>
      <c r="R220" s="101">
        <f t="shared" si="216"/>
        <v>0</v>
      </c>
      <c r="S220" s="101">
        <f t="shared" si="217"/>
        <v>0</v>
      </c>
      <c r="T220" s="101">
        <f t="shared" si="218"/>
        <v>0</v>
      </c>
      <c r="U220" s="688">
        <f t="shared" si="219"/>
        <v>0</v>
      </c>
      <c r="V220" s="689"/>
      <c r="X220" s="95">
        <v>166</v>
      </c>
      <c r="Y220" s="101">
        <f t="shared" si="220"/>
        <v>0</v>
      </c>
      <c r="Z220" s="101">
        <f t="shared" si="221"/>
        <v>0</v>
      </c>
      <c r="AA220" s="101">
        <f t="shared" si="222"/>
        <v>0</v>
      </c>
      <c r="AB220" s="688">
        <f t="shared" si="223"/>
        <v>0</v>
      </c>
      <c r="AC220" s="689"/>
    </row>
    <row r="221" spans="3:29" x14ac:dyDescent="0.2">
      <c r="C221" s="95">
        <v>167</v>
      </c>
      <c r="D221" s="101" t="str">
        <f t="shared" si="208"/>
        <v>$0.00</v>
      </c>
      <c r="E221" s="101" t="str">
        <f t="shared" si="209"/>
        <v>$0.00</v>
      </c>
      <c r="F221" s="101" t="str">
        <f t="shared" si="210"/>
        <v>$0.00</v>
      </c>
      <c r="G221" s="688" t="str">
        <f t="shared" si="211"/>
        <v>$0.00</v>
      </c>
      <c r="H221" s="689"/>
      <c r="J221" s="95">
        <v>167</v>
      </c>
      <c r="K221" s="96">
        <f t="shared" si="212"/>
        <v>0</v>
      </c>
      <c r="L221" s="96">
        <f t="shared" si="213"/>
        <v>0</v>
      </c>
      <c r="M221" s="96">
        <f t="shared" si="214"/>
        <v>0</v>
      </c>
      <c r="N221" s="688">
        <f t="shared" si="215"/>
        <v>0</v>
      </c>
      <c r="O221" s="689"/>
      <c r="Q221" s="95">
        <v>167</v>
      </c>
      <c r="R221" s="101" t="str">
        <f t="shared" si="216"/>
        <v>$0.00</v>
      </c>
      <c r="S221" s="101" t="str">
        <f t="shared" si="217"/>
        <v>$0.00</v>
      </c>
      <c r="T221" s="101" t="str">
        <f t="shared" si="218"/>
        <v>$0.00</v>
      </c>
      <c r="U221" s="688" t="str">
        <f t="shared" si="219"/>
        <v>$0.00</v>
      </c>
      <c r="V221" s="689"/>
      <c r="X221" s="95">
        <v>167</v>
      </c>
      <c r="Y221" s="101" t="str">
        <f t="shared" si="220"/>
        <v>$0.00</v>
      </c>
      <c r="Z221" s="101" t="str">
        <f t="shared" si="221"/>
        <v>$0.00</v>
      </c>
      <c r="AA221" s="101" t="str">
        <f t="shared" si="222"/>
        <v>$0.00</v>
      </c>
      <c r="AB221" s="688" t="str">
        <f t="shared" si="223"/>
        <v>$0.00</v>
      </c>
      <c r="AC221" s="689"/>
    </row>
    <row r="222" spans="3:29" x14ac:dyDescent="0.2">
      <c r="C222" s="95">
        <v>168</v>
      </c>
      <c r="D222" s="101">
        <f t="shared" si="208"/>
        <v>0</v>
      </c>
      <c r="E222" s="101">
        <f t="shared" si="209"/>
        <v>0</v>
      </c>
      <c r="F222" s="101">
        <f t="shared" si="210"/>
        <v>0</v>
      </c>
      <c r="G222" s="690">
        <f t="shared" si="211"/>
        <v>0</v>
      </c>
      <c r="H222" s="691"/>
      <c r="J222" s="95">
        <v>168</v>
      </c>
      <c r="K222" s="96">
        <f t="shared" si="212"/>
        <v>0</v>
      </c>
      <c r="L222" s="96">
        <f t="shared" si="213"/>
        <v>0</v>
      </c>
      <c r="M222" s="96">
        <f t="shared" si="214"/>
        <v>0</v>
      </c>
      <c r="N222" s="690">
        <f t="shared" si="215"/>
        <v>0</v>
      </c>
      <c r="O222" s="691"/>
      <c r="Q222" s="95">
        <v>168</v>
      </c>
      <c r="R222" s="101">
        <f t="shared" si="216"/>
        <v>0</v>
      </c>
      <c r="S222" s="101">
        <f t="shared" si="217"/>
        <v>0</v>
      </c>
      <c r="T222" s="101">
        <f t="shared" si="218"/>
        <v>0</v>
      </c>
      <c r="U222" s="690">
        <f t="shared" si="219"/>
        <v>0</v>
      </c>
      <c r="V222" s="691"/>
      <c r="X222" s="95">
        <v>168</v>
      </c>
      <c r="Y222" s="101">
        <f t="shared" si="220"/>
        <v>0</v>
      </c>
      <c r="Z222" s="101">
        <f t="shared" si="221"/>
        <v>0</v>
      </c>
      <c r="AA222" s="101">
        <f t="shared" si="222"/>
        <v>0</v>
      </c>
      <c r="AB222" s="690">
        <f t="shared" si="223"/>
        <v>0</v>
      </c>
      <c r="AC222" s="691"/>
    </row>
    <row r="223" spans="3:29" x14ac:dyDescent="0.2">
      <c r="C223" s="97" t="s">
        <v>784</v>
      </c>
      <c r="D223" s="104">
        <f>SUM(D211:D222)</f>
        <v>0</v>
      </c>
      <c r="E223" s="104">
        <f>SUM(E211:E222)</f>
        <v>0</v>
      </c>
      <c r="F223" s="104">
        <f>SUM(F211:F222)</f>
        <v>0</v>
      </c>
      <c r="G223" s="692">
        <f>G222</f>
        <v>0</v>
      </c>
      <c r="H223" s="693"/>
      <c r="J223" s="97" t="s">
        <v>784</v>
      </c>
      <c r="K223" s="86">
        <f>SUM(K211:K222)</f>
        <v>0</v>
      </c>
      <c r="L223" s="86">
        <f>SUM(L211:L222)</f>
        <v>0</v>
      </c>
      <c r="M223" s="86">
        <f>SUM(M211:M222)</f>
        <v>0</v>
      </c>
      <c r="N223" s="692">
        <f>N222</f>
        <v>0</v>
      </c>
      <c r="O223" s="711"/>
      <c r="Q223" s="97" t="s">
        <v>784</v>
      </c>
      <c r="R223" s="104">
        <f>SUM(R211:R222)</f>
        <v>0</v>
      </c>
      <c r="S223" s="104">
        <f>SUM(S211:S222)</f>
        <v>0</v>
      </c>
      <c r="T223" s="104">
        <f>SUM(T211:T222)</f>
        <v>0</v>
      </c>
      <c r="U223" s="692">
        <f>U222</f>
        <v>0</v>
      </c>
      <c r="V223" s="693"/>
      <c r="X223" s="97" t="s">
        <v>784</v>
      </c>
      <c r="Y223" s="104">
        <f>SUM(Y211:Y222)</f>
        <v>0</v>
      </c>
      <c r="Z223" s="104">
        <f>SUM(Z211:Z222)</f>
        <v>0</v>
      </c>
      <c r="AA223" s="104">
        <f>SUM(AA211:AA222)</f>
        <v>0</v>
      </c>
      <c r="AB223" s="692">
        <f>AB222</f>
        <v>0</v>
      </c>
      <c r="AC223" s="693"/>
    </row>
    <row r="224" spans="3:29" x14ac:dyDescent="0.2">
      <c r="C224" s="95">
        <v>169</v>
      </c>
      <c r="D224" s="101" t="str">
        <f t="shared" ref="D224:D235" si="224">IF(G223&gt;0,G223*($E$36)/12,"$0.00")</f>
        <v>$0.00</v>
      </c>
      <c r="E224" s="101" t="str">
        <f t="shared" ref="E224:E235" si="225">IF(G223&gt;0,IF($E$38=4,"$0.00",IF($E$38=3,"$0.00",IF($E$38=2,"$0.00",+$G$39-D224))),"$0.00")</f>
        <v>$0.00</v>
      </c>
      <c r="F224" s="101" t="str">
        <f t="shared" ref="F224:F235" si="226">IF(G223=0,"$0.00",IF($E$38=4,"$0.00",IF($E$38=3,"$0.00",IF($E$38=2,D224,D224+E224))))</f>
        <v>$0.00</v>
      </c>
      <c r="G224" s="688" t="str">
        <f t="shared" ref="G224:G235" si="227">IF(G223=0,"$0.00",IF($E$38=4,G223+D224,IF($E$38=3,G223+D224,IF($E$38=2,G223,G223-E224))))</f>
        <v>$0.00</v>
      </c>
      <c r="H224" s="689"/>
      <c r="J224" s="95">
        <v>169</v>
      </c>
      <c r="K224" s="96">
        <f t="shared" ref="K224:K235" si="228">N223*($L$36)/12</f>
        <v>0</v>
      </c>
      <c r="L224" s="96">
        <f t="shared" ref="L224:L235" si="229">IF(L220=4,"$0.00",+$N$39-K224)</f>
        <v>0</v>
      </c>
      <c r="M224" s="96">
        <f t="shared" ref="M224:M235" si="230">IF(L220=4,"$0.00",K224+L224)</f>
        <v>0</v>
      </c>
      <c r="N224" s="709">
        <f t="shared" ref="N224:N235" si="231">IF(L220=4,N223+K224,N223-L224)</f>
        <v>0</v>
      </c>
      <c r="O224" s="710"/>
      <c r="Q224" s="95">
        <v>169</v>
      </c>
      <c r="R224" s="101" t="str">
        <f t="shared" ref="R224:R235" si="232">IF(U223&gt;0,U223*($S$36)/12,"$0.00")</f>
        <v>$0.00</v>
      </c>
      <c r="S224" s="101" t="str">
        <f t="shared" ref="S224:S235" si="233">IF(U223&gt;0,IF($S$38=4,"$0.00",IF($S$38=3,"$0.00",IF($S$38=2,"$0.00",+$U$39-R224))),"$0.00")</f>
        <v>$0.00</v>
      </c>
      <c r="T224" s="101" t="str">
        <f t="shared" ref="T224:T235" si="234">IF(U223=0,"$0.00",IF($S$38=4,"$0.00",IF($S$38=3,"$0.00",IF($S$38=2,R224,R224+S224))))</f>
        <v>$0.00</v>
      </c>
      <c r="U224" s="688" t="str">
        <f t="shared" ref="U224:U235" si="235">IF(U223=0,"$0.00",IF($S$38=4,U223+R224,IF($S$38=3,U223+R224,IF($S$38=2,U223,U223-S224))))</f>
        <v>$0.00</v>
      </c>
      <c r="V224" s="689"/>
      <c r="X224" s="95">
        <v>169</v>
      </c>
      <c r="Y224" s="101" t="str">
        <f t="shared" ref="Y224:Y235" si="236">IF(AB223&gt;0,AB223*($Z$36)/12,"$0.00")</f>
        <v>$0.00</v>
      </c>
      <c r="Z224" s="101" t="str">
        <f t="shared" ref="Z224:Z235" si="237">IF(AB223&gt;0,IF($Z$38=4,"$0.00",IF($Z$38=3,"$0.00",IF($Z$38=2,"$0.00",+$AB$39-Y224))),"$0.00")</f>
        <v>$0.00</v>
      </c>
      <c r="AA224" s="101" t="str">
        <f t="shared" ref="AA224:AA235" si="238">IF(AB223=0,"$0.00",IF($Z$38=4,"$0.00",IF($Z$38=3,"$0.00",IF($Z$38=2,Y224,Y224+Z224))))</f>
        <v>$0.00</v>
      </c>
      <c r="AB224" s="688" t="str">
        <f t="shared" ref="AB224:AB235" si="239">IF(AB223=0,"$0.00",IF($Z$38=4,AB223+Y224,IF($Z$38=3,AB223+Y224,IF($Z$38=2,AB223,AB223-Z224))))</f>
        <v>$0.00</v>
      </c>
      <c r="AC224" s="689"/>
    </row>
    <row r="225" spans="3:29" x14ac:dyDescent="0.2">
      <c r="C225" s="95">
        <v>170</v>
      </c>
      <c r="D225" s="101">
        <f t="shared" si="224"/>
        <v>0</v>
      </c>
      <c r="E225" s="101">
        <f t="shared" si="225"/>
        <v>0</v>
      </c>
      <c r="F225" s="101">
        <f t="shared" si="226"/>
        <v>0</v>
      </c>
      <c r="G225" s="688">
        <f t="shared" si="227"/>
        <v>0</v>
      </c>
      <c r="H225" s="689"/>
      <c r="J225" s="95">
        <v>170</v>
      </c>
      <c r="K225" s="96">
        <f t="shared" si="228"/>
        <v>0</v>
      </c>
      <c r="L225" s="96">
        <f t="shared" si="229"/>
        <v>0</v>
      </c>
      <c r="M225" s="96">
        <f t="shared" si="230"/>
        <v>0</v>
      </c>
      <c r="N225" s="688">
        <f t="shared" si="231"/>
        <v>0</v>
      </c>
      <c r="O225" s="689"/>
      <c r="Q225" s="95">
        <v>170</v>
      </c>
      <c r="R225" s="101">
        <f t="shared" si="232"/>
        <v>0</v>
      </c>
      <c r="S225" s="101">
        <f t="shared" si="233"/>
        <v>0</v>
      </c>
      <c r="T225" s="101">
        <f t="shared" si="234"/>
        <v>0</v>
      </c>
      <c r="U225" s="688">
        <f t="shared" si="235"/>
        <v>0</v>
      </c>
      <c r="V225" s="689"/>
      <c r="X225" s="95">
        <v>170</v>
      </c>
      <c r="Y225" s="101">
        <f t="shared" si="236"/>
        <v>0</v>
      </c>
      <c r="Z225" s="101">
        <f t="shared" si="237"/>
        <v>0</v>
      </c>
      <c r="AA225" s="101">
        <f t="shared" si="238"/>
        <v>0</v>
      </c>
      <c r="AB225" s="688">
        <f t="shared" si="239"/>
        <v>0</v>
      </c>
      <c r="AC225" s="689"/>
    </row>
    <row r="226" spans="3:29" x14ac:dyDescent="0.2">
      <c r="C226" s="95">
        <v>171</v>
      </c>
      <c r="D226" s="101" t="str">
        <f t="shared" si="224"/>
        <v>$0.00</v>
      </c>
      <c r="E226" s="101" t="str">
        <f t="shared" si="225"/>
        <v>$0.00</v>
      </c>
      <c r="F226" s="101" t="str">
        <f t="shared" si="226"/>
        <v>$0.00</v>
      </c>
      <c r="G226" s="688" t="str">
        <f t="shared" si="227"/>
        <v>$0.00</v>
      </c>
      <c r="H226" s="689"/>
      <c r="J226" s="95">
        <v>171</v>
      </c>
      <c r="K226" s="96">
        <f t="shared" si="228"/>
        <v>0</v>
      </c>
      <c r="L226" s="96">
        <f t="shared" si="229"/>
        <v>0</v>
      </c>
      <c r="M226" s="96">
        <f t="shared" si="230"/>
        <v>0</v>
      </c>
      <c r="N226" s="688">
        <f t="shared" si="231"/>
        <v>0</v>
      </c>
      <c r="O226" s="689"/>
      <c r="Q226" s="95">
        <v>171</v>
      </c>
      <c r="R226" s="101" t="str">
        <f t="shared" si="232"/>
        <v>$0.00</v>
      </c>
      <c r="S226" s="101" t="str">
        <f t="shared" si="233"/>
        <v>$0.00</v>
      </c>
      <c r="T226" s="101" t="str">
        <f t="shared" si="234"/>
        <v>$0.00</v>
      </c>
      <c r="U226" s="688" t="str">
        <f t="shared" si="235"/>
        <v>$0.00</v>
      </c>
      <c r="V226" s="689"/>
      <c r="X226" s="95">
        <v>171</v>
      </c>
      <c r="Y226" s="101" t="str">
        <f t="shared" si="236"/>
        <v>$0.00</v>
      </c>
      <c r="Z226" s="101" t="str">
        <f t="shared" si="237"/>
        <v>$0.00</v>
      </c>
      <c r="AA226" s="101" t="str">
        <f t="shared" si="238"/>
        <v>$0.00</v>
      </c>
      <c r="AB226" s="688" t="str">
        <f t="shared" si="239"/>
        <v>$0.00</v>
      </c>
      <c r="AC226" s="689"/>
    </row>
    <row r="227" spans="3:29" x14ac:dyDescent="0.2">
      <c r="C227" s="95">
        <v>172</v>
      </c>
      <c r="D227" s="101">
        <f t="shared" si="224"/>
        <v>0</v>
      </c>
      <c r="E227" s="101">
        <f t="shared" si="225"/>
        <v>0</v>
      </c>
      <c r="F227" s="101">
        <f t="shared" si="226"/>
        <v>0</v>
      </c>
      <c r="G227" s="688">
        <f t="shared" si="227"/>
        <v>0</v>
      </c>
      <c r="H227" s="689"/>
      <c r="J227" s="95">
        <v>172</v>
      </c>
      <c r="K227" s="96">
        <f t="shared" si="228"/>
        <v>0</v>
      </c>
      <c r="L227" s="96">
        <f t="shared" si="229"/>
        <v>0</v>
      </c>
      <c r="M227" s="96">
        <f t="shared" si="230"/>
        <v>0</v>
      </c>
      <c r="N227" s="688">
        <f t="shared" si="231"/>
        <v>0</v>
      </c>
      <c r="O227" s="689"/>
      <c r="Q227" s="95">
        <v>172</v>
      </c>
      <c r="R227" s="101">
        <f t="shared" si="232"/>
        <v>0</v>
      </c>
      <c r="S227" s="101">
        <f t="shared" si="233"/>
        <v>0</v>
      </c>
      <c r="T227" s="101">
        <f t="shared" si="234"/>
        <v>0</v>
      </c>
      <c r="U227" s="688">
        <f t="shared" si="235"/>
        <v>0</v>
      </c>
      <c r="V227" s="689"/>
      <c r="X227" s="95">
        <v>172</v>
      </c>
      <c r="Y227" s="101">
        <f t="shared" si="236"/>
        <v>0</v>
      </c>
      <c r="Z227" s="101">
        <f t="shared" si="237"/>
        <v>0</v>
      </c>
      <c r="AA227" s="101">
        <f t="shared" si="238"/>
        <v>0</v>
      </c>
      <c r="AB227" s="688">
        <f t="shared" si="239"/>
        <v>0</v>
      </c>
      <c r="AC227" s="689"/>
    </row>
    <row r="228" spans="3:29" x14ac:dyDescent="0.2">
      <c r="C228" s="95">
        <v>173</v>
      </c>
      <c r="D228" s="101" t="str">
        <f t="shared" si="224"/>
        <v>$0.00</v>
      </c>
      <c r="E228" s="101" t="str">
        <f t="shared" si="225"/>
        <v>$0.00</v>
      </c>
      <c r="F228" s="101" t="str">
        <f t="shared" si="226"/>
        <v>$0.00</v>
      </c>
      <c r="G228" s="688" t="str">
        <f t="shared" si="227"/>
        <v>$0.00</v>
      </c>
      <c r="H228" s="689"/>
      <c r="J228" s="95">
        <v>173</v>
      </c>
      <c r="K228" s="96">
        <f t="shared" si="228"/>
        <v>0</v>
      </c>
      <c r="L228" s="96">
        <f t="shared" si="229"/>
        <v>0</v>
      </c>
      <c r="M228" s="96">
        <f t="shared" si="230"/>
        <v>0</v>
      </c>
      <c r="N228" s="688">
        <f t="shared" si="231"/>
        <v>0</v>
      </c>
      <c r="O228" s="689"/>
      <c r="Q228" s="95">
        <v>173</v>
      </c>
      <c r="R228" s="101" t="str">
        <f t="shared" si="232"/>
        <v>$0.00</v>
      </c>
      <c r="S228" s="101" t="str">
        <f t="shared" si="233"/>
        <v>$0.00</v>
      </c>
      <c r="T228" s="101" t="str">
        <f t="shared" si="234"/>
        <v>$0.00</v>
      </c>
      <c r="U228" s="688" t="str">
        <f t="shared" si="235"/>
        <v>$0.00</v>
      </c>
      <c r="V228" s="689"/>
      <c r="X228" s="95">
        <v>173</v>
      </c>
      <c r="Y228" s="101" t="str">
        <f t="shared" si="236"/>
        <v>$0.00</v>
      </c>
      <c r="Z228" s="101" t="str">
        <f t="shared" si="237"/>
        <v>$0.00</v>
      </c>
      <c r="AA228" s="101" t="str">
        <f t="shared" si="238"/>
        <v>$0.00</v>
      </c>
      <c r="AB228" s="688" t="str">
        <f t="shared" si="239"/>
        <v>$0.00</v>
      </c>
      <c r="AC228" s="689"/>
    </row>
    <row r="229" spans="3:29" x14ac:dyDescent="0.2">
      <c r="C229" s="95">
        <v>174</v>
      </c>
      <c r="D229" s="101">
        <f t="shared" si="224"/>
        <v>0</v>
      </c>
      <c r="E229" s="101">
        <f t="shared" si="225"/>
        <v>0</v>
      </c>
      <c r="F229" s="101">
        <f t="shared" si="226"/>
        <v>0</v>
      </c>
      <c r="G229" s="688">
        <f t="shared" si="227"/>
        <v>0</v>
      </c>
      <c r="H229" s="689"/>
      <c r="J229" s="95">
        <v>174</v>
      </c>
      <c r="K229" s="96">
        <f t="shared" si="228"/>
        <v>0</v>
      </c>
      <c r="L229" s="96">
        <f t="shared" si="229"/>
        <v>0</v>
      </c>
      <c r="M229" s="96">
        <f t="shared" si="230"/>
        <v>0</v>
      </c>
      <c r="N229" s="688">
        <f t="shared" si="231"/>
        <v>0</v>
      </c>
      <c r="O229" s="689"/>
      <c r="Q229" s="95">
        <v>174</v>
      </c>
      <c r="R229" s="101">
        <f t="shared" si="232"/>
        <v>0</v>
      </c>
      <c r="S229" s="101">
        <f t="shared" si="233"/>
        <v>0</v>
      </c>
      <c r="T229" s="101">
        <f t="shared" si="234"/>
        <v>0</v>
      </c>
      <c r="U229" s="688">
        <f t="shared" si="235"/>
        <v>0</v>
      </c>
      <c r="V229" s="689"/>
      <c r="X229" s="95">
        <v>174</v>
      </c>
      <c r="Y229" s="101">
        <f t="shared" si="236"/>
        <v>0</v>
      </c>
      <c r="Z229" s="101">
        <f t="shared" si="237"/>
        <v>0</v>
      </c>
      <c r="AA229" s="101">
        <f t="shared" si="238"/>
        <v>0</v>
      </c>
      <c r="AB229" s="688">
        <f t="shared" si="239"/>
        <v>0</v>
      </c>
      <c r="AC229" s="689"/>
    </row>
    <row r="230" spans="3:29" x14ac:dyDescent="0.2">
      <c r="C230" s="95">
        <v>175</v>
      </c>
      <c r="D230" s="101" t="str">
        <f t="shared" si="224"/>
        <v>$0.00</v>
      </c>
      <c r="E230" s="101" t="str">
        <f t="shared" si="225"/>
        <v>$0.00</v>
      </c>
      <c r="F230" s="101" t="str">
        <f t="shared" si="226"/>
        <v>$0.00</v>
      </c>
      <c r="G230" s="688" t="str">
        <f t="shared" si="227"/>
        <v>$0.00</v>
      </c>
      <c r="H230" s="689"/>
      <c r="J230" s="95">
        <v>175</v>
      </c>
      <c r="K230" s="96">
        <f t="shared" si="228"/>
        <v>0</v>
      </c>
      <c r="L230" s="96">
        <f t="shared" si="229"/>
        <v>0</v>
      </c>
      <c r="M230" s="96">
        <f t="shared" si="230"/>
        <v>0</v>
      </c>
      <c r="N230" s="688">
        <f t="shared" si="231"/>
        <v>0</v>
      </c>
      <c r="O230" s="689"/>
      <c r="Q230" s="95">
        <v>175</v>
      </c>
      <c r="R230" s="101" t="str">
        <f t="shared" si="232"/>
        <v>$0.00</v>
      </c>
      <c r="S230" s="101" t="str">
        <f t="shared" si="233"/>
        <v>$0.00</v>
      </c>
      <c r="T230" s="101" t="str">
        <f t="shared" si="234"/>
        <v>$0.00</v>
      </c>
      <c r="U230" s="688" t="str">
        <f t="shared" si="235"/>
        <v>$0.00</v>
      </c>
      <c r="V230" s="689"/>
      <c r="X230" s="95">
        <v>175</v>
      </c>
      <c r="Y230" s="101" t="str">
        <f t="shared" si="236"/>
        <v>$0.00</v>
      </c>
      <c r="Z230" s="101" t="str">
        <f t="shared" si="237"/>
        <v>$0.00</v>
      </c>
      <c r="AA230" s="101" t="str">
        <f t="shared" si="238"/>
        <v>$0.00</v>
      </c>
      <c r="AB230" s="688" t="str">
        <f t="shared" si="239"/>
        <v>$0.00</v>
      </c>
      <c r="AC230" s="689"/>
    </row>
    <row r="231" spans="3:29" x14ac:dyDescent="0.2">
      <c r="C231" s="95">
        <v>176</v>
      </c>
      <c r="D231" s="101">
        <f t="shared" si="224"/>
        <v>0</v>
      </c>
      <c r="E231" s="101">
        <f t="shared" si="225"/>
        <v>0</v>
      </c>
      <c r="F231" s="101">
        <f t="shared" si="226"/>
        <v>0</v>
      </c>
      <c r="G231" s="688">
        <f t="shared" si="227"/>
        <v>0</v>
      </c>
      <c r="H231" s="689"/>
      <c r="J231" s="95">
        <v>176</v>
      </c>
      <c r="K231" s="96">
        <f t="shared" si="228"/>
        <v>0</v>
      </c>
      <c r="L231" s="96">
        <f t="shared" si="229"/>
        <v>0</v>
      </c>
      <c r="M231" s="96">
        <f t="shared" si="230"/>
        <v>0</v>
      </c>
      <c r="N231" s="688">
        <f t="shared" si="231"/>
        <v>0</v>
      </c>
      <c r="O231" s="689"/>
      <c r="Q231" s="95">
        <v>176</v>
      </c>
      <c r="R231" s="101">
        <f t="shared" si="232"/>
        <v>0</v>
      </c>
      <c r="S231" s="101">
        <f t="shared" si="233"/>
        <v>0</v>
      </c>
      <c r="T231" s="101">
        <f t="shared" si="234"/>
        <v>0</v>
      </c>
      <c r="U231" s="688">
        <f t="shared" si="235"/>
        <v>0</v>
      </c>
      <c r="V231" s="689"/>
      <c r="X231" s="95">
        <v>176</v>
      </c>
      <c r="Y231" s="101">
        <f t="shared" si="236"/>
        <v>0</v>
      </c>
      <c r="Z231" s="101">
        <f t="shared" si="237"/>
        <v>0</v>
      </c>
      <c r="AA231" s="101">
        <f t="shared" si="238"/>
        <v>0</v>
      </c>
      <c r="AB231" s="688">
        <f t="shared" si="239"/>
        <v>0</v>
      </c>
      <c r="AC231" s="689"/>
    </row>
    <row r="232" spans="3:29" x14ac:dyDescent="0.2">
      <c r="C232" s="95">
        <v>177</v>
      </c>
      <c r="D232" s="101" t="str">
        <f t="shared" si="224"/>
        <v>$0.00</v>
      </c>
      <c r="E232" s="101" t="str">
        <f t="shared" si="225"/>
        <v>$0.00</v>
      </c>
      <c r="F232" s="101" t="str">
        <f t="shared" si="226"/>
        <v>$0.00</v>
      </c>
      <c r="G232" s="688" t="str">
        <f t="shared" si="227"/>
        <v>$0.00</v>
      </c>
      <c r="H232" s="689"/>
      <c r="J232" s="95">
        <v>177</v>
      </c>
      <c r="K232" s="96">
        <f t="shared" si="228"/>
        <v>0</v>
      </c>
      <c r="L232" s="96">
        <f t="shared" si="229"/>
        <v>0</v>
      </c>
      <c r="M232" s="96">
        <f t="shared" si="230"/>
        <v>0</v>
      </c>
      <c r="N232" s="688">
        <f t="shared" si="231"/>
        <v>0</v>
      </c>
      <c r="O232" s="689"/>
      <c r="Q232" s="95">
        <v>177</v>
      </c>
      <c r="R232" s="101" t="str">
        <f t="shared" si="232"/>
        <v>$0.00</v>
      </c>
      <c r="S232" s="101" t="str">
        <f t="shared" si="233"/>
        <v>$0.00</v>
      </c>
      <c r="T232" s="101" t="str">
        <f t="shared" si="234"/>
        <v>$0.00</v>
      </c>
      <c r="U232" s="688" t="str">
        <f t="shared" si="235"/>
        <v>$0.00</v>
      </c>
      <c r="V232" s="689"/>
      <c r="X232" s="95">
        <v>177</v>
      </c>
      <c r="Y232" s="101" t="str">
        <f t="shared" si="236"/>
        <v>$0.00</v>
      </c>
      <c r="Z232" s="101" t="str">
        <f t="shared" si="237"/>
        <v>$0.00</v>
      </c>
      <c r="AA232" s="101" t="str">
        <f t="shared" si="238"/>
        <v>$0.00</v>
      </c>
      <c r="AB232" s="688" t="str">
        <f t="shared" si="239"/>
        <v>$0.00</v>
      </c>
      <c r="AC232" s="689"/>
    </row>
    <row r="233" spans="3:29" x14ac:dyDescent="0.2">
      <c r="C233" s="95">
        <v>178</v>
      </c>
      <c r="D233" s="101">
        <f t="shared" si="224"/>
        <v>0</v>
      </c>
      <c r="E233" s="101">
        <f t="shared" si="225"/>
        <v>0</v>
      </c>
      <c r="F233" s="101">
        <f t="shared" si="226"/>
        <v>0</v>
      </c>
      <c r="G233" s="688">
        <f t="shared" si="227"/>
        <v>0</v>
      </c>
      <c r="H233" s="689"/>
      <c r="J233" s="95">
        <v>178</v>
      </c>
      <c r="K233" s="96">
        <f t="shared" si="228"/>
        <v>0</v>
      </c>
      <c r="L233" s="96">
        <f t="shared" si="229"/>
        <v>0</v>
      </c>
      <c r="M233" s="96">
        <f t="shared" si="230"/>
        <v>0</v>
      </c>
      <c r="N233" s="688">
        <f t="shared" si="231"/>
        <v>0</v>
      </c>
      <c r="O233" s="689"/>
      <c r="Q233" s="95">
        <v>178</v>
      </c>
      <c r="R233" s="101">
        <f t="shared" si="232"/>
        <v>0</v>
      </c>
      <c r="S233" s="101">
        <f t="shared" si="233"/>
        <v>0</v>
      </c>
      <c r="T233" s="101">
        <f t="shared" si="234"/>
        <v>0</v>
      </c>
      <c r="U233" s="688">
        <f t="shared" si="235"/>
        <v>0</v>
      </c>
      <c r="V233" s="689"/>
      <c r="X233" s="95">
        <v>178</v>
      </c>
      <c r="Y233" s="101">
        <f t="shared" si="236"/>
        <v>0</v>
      </c>
      <c r="Z233" s="101">
        <f t="shared" si="237"/>
        <v>0</v>
      </c>
      <c r="AA233" s="101">
        <f t="shared" si="238"/>
        <v>0</v>
      </c>
      <c r="AB233" s="688">
        <f t="shared" si="239"/>
        <v>0</v>
      </c>
      <c r="AC233" s="689"/>
    </row>
    <row r="234" spans="3:29" x14ac:dyDescent="0.2">
      <c r="C234" s="95">
        <v>179</v>
      </c>
      <c r="D234" s="101" t="str">
        <f t="shared" si="224"/>
        <v>$0.00</v>
      </c>
      <c r="E234" s="101" t="str">
        <f t="shared" si="225"/>
        <v>$0.00</v>
      </c>
      <c r="F234" s="101" t="str">
        <f t="shared" si="226"/>
        <v>$0.00</v>
      </c>
      <c r="G234" s="688" t="str">
        <f t="shared" si="227"/>
        <v>$0.00</v>
      </c>
      <c r="H234" s="689"/>
      <c r="J234" s="95">
        <v>179</v>
      </c>
      <c r="K234" s="96">
        <f t="shared" si="228"/>
        <v>0</v>
      </c>
      <c r="L234" s="96">
        <f t="shared" si="229"/>
        <v>0</v>
      </c>
      <c r="M234" s="96">
        <f t="shared" si="230"/>
        <v>0</v>
      </c>
      <c r="N234" s="688">
        <f t="shared" si="231"/>
        <v>0</v>
      </c>
      <c r="O234" s="689"/>
      <c r="Q234" s="95">
        <v>179</v>
      </c>
      <c r="R234" s="101" t="str">
        <f t="shared" si="232"/>
        <v>$0.00</v>
      </c>
      <c r="S234" s="101" t="str">
        <f t="shared" si="233"/>
        <v>$0.00</v>
      </c>
      <c r="T234" s="101" t="str">
        <f t="shared" si="234"/>
        <v>$0.00</v>
      </c>
      <c r="U234" s="688" t="str">
        <f t="shared" si="235"/>
        <v>$0.00</v>
      </c>
      <c r="V234" s="689"/>
      <c r="X234" s="95">
        <v>179</v>
      </c>
      <c r="Y234" s="101" t="str">
        <f t="shared" si="236"/>
        <v>$0.00</v>
      </c>
      <c r="Z234" s="101" t="str">
        <f t="shared" si="237"/>
        <v>$0.00</v>
      </c>
      <c r="AA234" s="101" t="str">
        <f t="shared" si="238"/>
        <v>$0.00</v>
      </c>
      <c r="AB234" s="688" t="str">
        <f t="shared" si="239"/>
        <v>$0.00</v>
      </c>
      <c r="AC234" s="689"/>
    </row>
    <row r="235" spans="3:29" x14ac:dyDescent="0.2">
      <c r="C235" s="95">
        <v>180</v>
      </c>
      <c r="D235" s="101">
        <f t="shared" si="224"/>
        <v>0</v>
      </c>
      <c r="E235" s="101">
        <f t="shared" si="225"/>
        <v>0</v>
      </c>
      <c r="F235" s="101">
        <f t="shared" si="226"/>
        <v>0</v>
      </c>
      <c r="G235" s="690">
        <f t="shared" si="227"/>
        <v>0</v>
      </c>
      <c r="H235" s="691"/>
      <c r="J235" s="95">
        <v>180</v>
      </c>
      <c r="K235" s="96">
        <f t="shared" si="228"/>
        <v>0</v>
      </c>
      <c r="L235" s="96">
        <f t="shared" si="229"/>
        <v>0</v>
      </c>
      <c r="M235" s="96">
        <f t="shared" si="230"/>
        <v>0</v>
      </c>
      <c r="N235" s="690">
        <f t="shared" si="231"/>
        <v>0</v>
      </c>
      <c r="O235" s="691"/>
      <c r="Q235" s="95">
        <v>180</v>
      </c>
      <c r="R235" s="101">
        <f t="shared" si="232"/>
        <v>0</v>
      </c>
      <c r="S235" s="101">
        <f t="shared" si="233"/>
        <v>0</v>
      </c>
      <c r="T235" s="101">
        <f t="shared" si="234"/>
        <v>0</v>
      </c>
      <c r="U235" s="690">
        <f t="shared" si="235"/>
        <v>0</v>
      </c>
      <c r="V235" s="691"/>
      <c r="X235" s="95">
        <v>180</v>
      </c>
      <c r="Y235" s="101">
        <f t="shared" si="236"/>
        <v>0</v>
      </c>
      <c r="Z235" s="101">
        <f t="shared" si="237"/>
        <v>0</v>
      </c>
      <c r="AA235" s="101">
        <f t="shared" si="238"/>
        <v>0</v>
      </c>
      <c r="AB235" s="690">
        <f t="shared" si="239"/>
        <v>0</v>
      </c>
      <c r="AC235" s="691"/>
    </row>
    <row r="236" spans="3:29" x14ac:dyDescent="0.2">
      <c r="C236" s="97" t="s">
        <v>785</v>
      </c>
      <c r="D236" s="104">
        <f>SUM(D224:D235)</f>
        <v>0</v>
      </c>
      <c r="E236" s="104">
        <f>SUM(E224:E235)</f>
        <v>0</v>
      </c>
      <c r="F236" s="104">
        <f>SUM(F224:F235)</f>
        <v>0</v>
      </c>
      <c r="G236" s="692">
        <f>G235</f>
        <v>0</v>
      </c>
      <c r="H236" s="693"/>
      <c r="J236" s="97" t="s">
        <v>785</v>
      </c>
      <c r="K236" s="86">
        <f>SUM(K224:K235)</f>
        <v>0</v>
      </c>
      <c r="L236" s="86">
        <f>SUM(L224:L235)</f>
        <v>0</v>
      </c>
      <c r="M236" s="86">
        <f>SUM(M224:M235)</f>
        <v>0</v>
      </c>
      <c r="N236" s="692">
        <f>N235</f>
        <v>0</v>
      </c>
      <c r="O236" s="711"/>
      <c r="Q236" s="97" t="s">
        <v>785</v>
      </c>
      <c r="R236" s="104">
        <f>SUM(R224:R235)</f>
        <v>0</v>
      </c>
      <c r="S236" s="104">
        <f>SUM(S224:S235)</f>
        <v>0</v>
      </c>
      <c r="T236" s="104">
        <f>SUM(T224:T235)</f>
        <v>0</v>
      </c>
      <c r="U236" s="692">
        <f>U235</f>
        <v>0</v>
      </c>
      <c r="V236" s="693"/>
      <c r="X236" s="97" t="s">
        <v>785</v>
      </c>
      <c r="Y236" s="104">
        <f>SUM(Y224:Y235)</f>
        <v>0</v>
      </c>
      <c r="Z236" s="104">
        <f>SUM(Z224:Z235)</f>
        <v>0</v>
      </c>
      <c r="AA236" s="104">
        <f>SUM(AA224:AA235)</f>
        <v>0</v>
      </c>
      <c r="AB236" s="692">
        <f>AB235</f>
        <v>0</v>
      </c>
      <c r="AC236" s="693"/>
    </row>
    <row r="237" spans="3:29" x14ac:dyDescent="0.2">
      <c r="C237" s="95">
        <v>181</v>
      </c>
      <c r="D237" s="101" t="str">
        <f t="shared" ref="D237:D248" si="240">IF(G236&gt;0,G236*($E$36)/12,"$0.00")</f>
        <v>$0.00</v>
      </c>
      <c r="E237" s="101" t="str">
        <f t="shared" ref="E237:E248" si="241">IF(G236&gt;0,IF($E$38=4,"$0.00",IF($E$38=3,"$0.00",IF($E$38=2,"$0.00",+$G$39-D237))),"$0.00")</f>
        <v>$0.00</v>
      </c>
      <c r="F237" s="101" t="str">
        <f t="shared" ref="F237:F248" si="242">IF(G236=0,"$0.00",IF($E$38=4,"$0.00",IF($E$38=3,"$0.00",IF($E$38=2,D237,D237+E237))))</f>
        <v>$0.00</v>
      </c>
      <c r="G237" s="688" t="str">
        <f t="shared" ref="G237:G248" si="243">IF(G236=0,"$0.00",IF($E$38=4,G236+D237,IF($E$38=3,G236+D237,IF($E$38=2,G236,G236-E237))))</f>
        <v>$0.00</v>
      </c>
      <c r="H237" s="689"/>
      <c r="J237" s="95">
        <v>181</v>
      </c>
      <c r="K237" s="96">
        <f t="shared" ref="K237:K248" si="244">N236*($L$36)/12</f>
        <v>0</v>
      </c>
      <c r="L237" s="96">
        <f t="shared" ref="L237:L248" si="245">IF(L233=4,"$0.00",+$N$39-K237)</f>
        <v>0</v>
      </c>
      <c r="M237" s="96">
        <f t="shared" ref="M237:M248" si="246">IF(L233=4,"$0.00",K237+L237)</f>
        <v>0</v>
      </c>
      <c r="N237" s="709">
        <f t="shared" ref="N237:N248" si="247">IF(L233=4,N236+K237,N236-L237)</f>
        <v>0</v>
      </c>
      <c r="O237" s="710"/>
      <c r="Q237" s="95">
        <v>181</v>
      </c>
      <c r="R237" s="101" t="str">
        <f t="shared" ref="R237:R248" si="248">IF(U236&gt;0,U236*($S$36)/12,"$0.00")</f>
        <v>$0.00</v>
      </c>
      <c r="S237" s="101" t="str">
        <f t="shared" ref="S237:S248" si="249">IF(U236&gt;0,IF($S$38=4,"$0.00",IF($S$38=3,"$0.00",IF($S$38=2,"$0.00",+$U$39-R237))),"$0.00")</f>
        <v>$0.00</v>
      </c>
      <c r="T237" s="101" t="str">
        <f t="shared" ref="T237:T248" si="250">IF(U236=0,"$0.00",IF($S$38=4,"$0.00",IF($S$38=3,"$0.00",IF($S$38=2,R237,R237+S237))))</f>
        <v>$0.00</v>
      </c>
      <c r="U237" s="688" t="str">
        <f t="shared" ref="U237:U248" si="251">IF(U236=0,"$0.00",IF($S$38=4,U236+R237,IF($S$38=3,U236+R237,IF($S$38=2,U236,U236-S237))))</f>
        <v>$0.00</v>
      </c>
      <c r="V237" s="689"/>
      <c r="X237" s="95">
        <v>181</v>
      </c>
      <c r="Y237" s="101" t="str">
        <f t="shared" ref="Y237:Y248" si="252">IF(AB236&gt;0,AB236*($Z$36)/12,"$0.00")</f>
        <v>$0.00</v>
      </c>
      <c r="Z237" s="101" t="str">
        <f t="shared" ref="Z237:Z248" si="253">IF(AB236&gt;0,IF($Z$38=4,"$0.00",IF($Z$38=3,"$0.00",IF($Z$38=2,"$0.00",+$AB$39-Y237))),"$0.00")</f>
        <v>$0.00</v>
      </c>
      <c r="AA237" s="101" t="str">
        <f t="shared" ref="AA237:AA248" si="254">IF(AB236=0,"$0.00",IF($Z$38=4,"$0.00",IF($Z$38=3,"$0.00",IF($Z$38=2,Y237,Y237+Z237))))</f>
        <v>$0.00</v>
      </c>
      <c r="AB237" s="688" t="str">
        <f t="shared" ref="AB237:AB248" si="255">IF(AB236=0,"$0.00",IF($Z$38=4,AB236+Y237,IF($Z$38=3,AB236+Y237,IF($Z$38=2,AB236,AB236-Z237))))</f>
        <v>$0.00</v>
      </c>
      <c r="AC237" s="689"/>
    </row>
    <row r="238" spans="3:29" x14ac:dyDescent="0.2">
      <c r="C238" s="95">
        <v>182</v>
      </c>
      <c r="D238" s="101">
        <f t="shared" si="240"/>
        <v>0</v>
      </c>
      <c r="E238" s="101">
        <f t="shared" si="241"/>
        <v>0</v>
      </c>
      <c r="F238" s="101">
        <f t="shared" si="242"/>
        <v>0</v>
      </c>
      <c r="G238" s="688">
        <f t="shared" si="243"/>
        <v>0</v>
      </c>
      <c r="H238" s="689"/>
      <c r="J238" s="95">
        <v>182</v>
      </c>
      <c r="K238" s="96">
        <f t="shared" si="244"/>
        <v>0</v>
      </c>
      <c r="L238" s="96">
        <f t="shared" si="245"/>
        <v>0</v>
      </c>
      <c r="M238" s="96">
        <f t="shared" si="246"/>
        <v>0</v>
      </c>
      <c r="N238" s="688">
        <f t="shared" si="247"/>
        <v>0</v>
      </c>
      <c r="O238" s="689"/>
      <c r="Q238" s="95">
        <v>182</v>
      </c>
      <c r="R238" s="101">
        <f t="shared" si="248"/>
        <v>0</v>
      </c>
      <c r="S238" s="101">
        <f t="shared" si="249"/>
        <v>0</v>
      </c>
      <c r="T238" s="101">
        <f t="shared" si="250"/>
        <v>0</v>
      </c>
      <c r="U238" s="688">
        <f t="shared" si="251"/>
        <v>0</v>
      </c>
      <c r="V238" s="689"/>
      <c r="X238" s="95">
        <v>182</v>
      </c>
      <c r="Y238" s="101">
        <f t="shared" si="252"/>
        <v>0</v>
      </c>
      <c r="Z238" s="101">
        <f t="shared" si="253"/>
        <v>0</v>
      </c>
      <c r="AA238" s="101">
        <f t="shared" si="254"/>
        <v>0</v>
      </c>
      <c r="AB238" s="688">
        <f t="shared" si="255"/>
        <v>0</v>
      </c>
      <c r="AC238" s="689"/>
    </row>
    <row r="239" spans="3:29" x14ac:dyDescent="0.2">
      <c r="C239" s="95">
        <v>183</v>
      </c>
      <c r="D239" s="101" t="str">
        <f t="shared" si="240"/>
        <v>$0.00</v>
      </c>
      <c r="E239" s="101" t="str">
        <f t="shared" si="241"/>
        <v>$0.00</v>
      </c>
      <c r="F239" s="101" t="str">
        <f t="shared" si="242"/>
        <v>$0.00</v>
      </c>
      <c r="G239" s="688" t="str">
        <f t="shared" si="243"/>
        <v>$0.00</v>
      </c>
      <c r="H239" s="689"/>
      <c r="J239" s="95">
        <v>183</v>
      </c>
      <c r="K239" s="96">
        <f t="shared" si="244"/>
        <v>0</v>
      </c>
      <c r="L239" s="96">
        <f t="shared" si="245"/>
        <v>0</v>
      </c>
      <c r="M239" s="96">
        <f t="shared" si="246"/>
        <v>0</v>
      </c>
      <c r="N239" s="688">
        <f t="shared" si="247"/>
        <v>0</v>
      </c>
      <c r="O239" s="689"/>
      <c r="Q239" s="95">
        <v>183</v>
      </c>
      <c r="R239" s="101" t="str">
        <f t="shared" si="248"/>
        <v>$0.00</v>
      </c>
      <c r="S239" s="101" t="str">
        <f t="shared" si="249"/>
        <v>$0.00</v>
      </c>
      <c r="T239" s="101" t="str">
        <f t="shared" si="250"/>
        <v>$0.00</v>
      </c>
      <c r="U239" s="688" t="str">
        <f t="shared" si="251"/>
        <v>$0.00</v>
      </c>
      <c r="V239" s="689"/>
      <c r="X239" s="95">
        <v>183</v>
      </c>
      <c r="Y239" s="101" t="str">
        <f t="shared" si="252"/>
        <v>$0.00</v>
      </c>
      <c r="Z239" s="101" t="str">
        <f t="shared" si="253"/>
        <v>$0.00</v>
      </c>
      <c r="AA239" s="101" t="str">
        <f t="shared" si="254"/>
        <v>$0.00</v>
      </c>
      <c r="AB239" s="688" t="str">
        <f t="shared" si="255"/>
        <v>$0.00</v>
      </c>
      <c r="AC239" s="689"/>
    </row>
    <row r="240" spans="3:29" x14ac:dyDescent="0.2">
      <c r="C240" s="95">
        <v>184</v>
      </c>
      <c r="D240" s="101">
        <f t="shared" si="240"/>
        <v>0</v>
      </c>
      <c r="E240" s="101">
        <f t="shared" si="241"/>
        <v>0</v>
      </c>
      <c r="F240" s="101">
        <f t="shared" si="242"/>
        <v>0</v>
      </c>
      <c r="G240" s="688">
        <f t="shared" si="243"/>
        <v>0</v>
      </c>
      <c r="H240" s="689"/>
      <c r="J240" s="95">
        <v>184</v>
      </c>
      <c r="K240" s="96">
        <f t="shared" si="244"/>
        <v>0</v>
      </c>
      <c r="L240" s="96">
        <f t="shared" si="245"/>
        <v>0</v>
      </c>
      <c r="M240" s="96">
        <f t="shared" si="246"/>
        <v>0</v>
      </c>
      <c r="N240" s="688">
        <f t="shared" si="247"/>
        <v>0</v>
      </c>
      <c r="O240" s="689"/>
      <c r="Q240" s="95">
        <v>184</v>
      </c>
      <c r="R240" s="101">
        <f t="shared" si="248"/>
        <v>0</v>
      </c>
      <c r="S240" s="101">
        <f t="shared" si="249"/>
        <v>0</v>
      </c>
      <c r="T240" s="101">
        <f t="shared" si="250"/>
        <v>0</v>
      </c>
      <c r="U240" s="688">
        <f t="shared" si="251"/>
        <v>0</v>
      </c>
      <c r="V240" s="689"/>
      <c r="X240" s="95">
        <v>184</v>
      </c>
      <c r="Y240" s="101">
        <f t="shared" si="252"/>
        <v>0</v>
      </c>
      <c r="Z240" s="101">
        <f t="shared" si="253"/>
        <v>0</v>
      </c>
      <c r="AA240" s="101">
        <f t="shared" si="254"/>
        <v>0</v>
      </c>
      <c r="AB240" s="688">
        <f t="shared" si="255"/>
        <v>0</v>
      </c>
      <c r="AC240" s="689"/>
    </row>
    <row r="241" spans="3:29" x14ac:dyDescent="0.2">
      <c r="C241" s="95">
        <v>185</v>
      </c>
      <c r="D241" s="101" t="str">
        <f t="shared" si="240"/>
        <v>$0.00</v>
      </c>
      <c r="E241" s="101" t="str">
        <f t="shared" si="241"/>
        <v>$0.00</v>
      </c>
      <c r="F241" s="101" t="str">
        <f t="shared" si="242"/>
        <v>$0.00</v>
      </c>
      <c r="G241" s="688" t="str">
        <f t="shared" si="243"/>
        <v>$0.00</v>
      </c>
      <c r="H241" s="689"/>
      <c r="J241" s="95">
        <v>185</v>
      </c>
      <c r="K241" s="96">
        <f t="shared" si="244"/>
        <v>0</v>
      </c>
      <c r="L241" s="96">
        <f t="shared" si="245"/>
        <v>0</v>
      </c>
      <c r="M241" s="96">
        <f t="shared" si="246"/>
        <v>0</v>
      </c>
      <c r="N241" s="688">
        <f t="shared" si="247"/>
        <v>0</v>
      </c>
      <c r="O241" s="689"/>
      <c r="Q241" s="95">
        <v>185</v>
      </c>
      <c r="R241" s="101" t="str">
        <f t="shared" si="248"/>
        <v>$0.00</v>
      </c>
      <c r="S241" s="101" t="str">
        <f t="shared" si="249"/>
        <v>$0.00</v>
      </c>
      <c r="T241" s="101" t="str">
        <f t="shared" si="250"/>
        <v>$0.00</v>
      </c>
      <c r="U241" s="688" t="str">
        <f t="shared" si="251"/>
        <v>$0.00</v>
      </c>
      <c r="V241" s="689"/>
      <c r="X241" s="95">
        <v>185</v>
      </c>
      <c r="Y241" s="101" t="str">
        <f t="shared" si="252"/>
        <v>$0.00</v>
      </c>
      <c r="Z241" s="101" t="str">
        <f t="shared" si="253"/>
        <v>$0.00</v>
      </c>
      <c r="AA241" s="101" t="str">
        <f t="shared" si="254"/>
        <v>$0.00</v>
      </c>
      <c r="AB241" s="688" t="str">
        <f t="shared" si="255"/>
        <v>$0.00</v>
      </c>
      <c r="AC241" s="689"/>
    </row>
    <row r="242" spans="3:29" x14ac:dyDescent="0.2">
      <c r="C242" s="95">
        <v>186</v>
      </c>
      <c r="D242" s="101">
        <f t="shared" si="240"/>
        <v>0</v>
      </c>
      <c r="E242" s="101">
        <f t="shared" si="241"/>
        <v>0</v>
      </c>
      <c r="F242" s="101">
        <f t="shared" si="242"/>
        <v>0</v>
      </c>
      <c r="G242" s="688">
        <f t="shared" si="243"/>
        <v>0</v>
      </c>
      <c r="H242" s="689"/>
      <c r="J242" s="95">
        <v>186</v>
      </c>
      <c r="K242" s="96">
        <f t="shared" si="244"/>
        <v>0</v>
      </c>
      <c r="L242" s="96">
        <f t="shared" si="245"/>
        <v>0</v>
      </c>
      <c r="M242" s="96">
        <f t="shared" si="246"/>
        <v>0</v>
      </c>
      <c r="N242" s="688">
        <f t="shared" si="247"/>
        <v>0</v>
      </c>
      <c r="O242" s="689"/>
      <c r="Q242" s="95">
        <v>186</v>
      </c>
      <c r="R242" s="101">
        <f t="shared" si="248"/>
        <v>0</v>
      </c>
      <c r="S242" s="101">
        <f t="shared" si="249"/>
        <v>0</v>
      </c>
      <c r="T242" s="101">
        <f t="shared" si="250"/>
        <v>0</v>
      </c>
      <c r="U242" s="688">
        <f t="shared" si="251"/>
        <v>0</v>
      </c>
      <c r="V242" s="689"/>
      <c r="X242" s="95">
        <v>186</v>
      </c>
      <c r="Y242" s="101">
        <f t="shared" si="252"/>
        <v>0</v>
      </c>
      <c r="Z242" s="101">
        <f t="shared" si="253"/>
        <v>0</v>
      </c>
      <c r="AA242" s="101">
        <f t="shared" si="254"/>
        <v>0</v>
      </c>
      <c r="AB242" s="688">
        <f t="shared" si="255"/>
        <v>0</v>
      </c>
      <c r="AC242" s="689"/>
    </row>
    <row r="243" spans="3:29" x14ac:dyDescent="0.2">
      <c r="C243" s="95">
        <v>187</v>
      </c>
      <c r="D243" s="101" t="str">
        <f t="shared" si="240"/>
        <v>$0.00</v>
      </c>
      <c r="E243" s="101" t="str">
        <f t="shared" si="241"/>
        <v>$0.00</v>
      </c>
      <c r="F243" s="101" t="str">
        <f t="shared" si="242"/>
        <v>$0.00</v>
      </c>
      <c r="G243" s="688" t="str">
        <f t="shared" si="243"/>
        <v>$0.00</v>
      </c>
      <c r="H243" s="689"/>
      <c r="J243" s="95">
        <v>187</v>
      </c>
      <c r="K243" s="96">
        <f t="shared" si="244"/>
        <v>0</v>
      </c>
      <c r="L243" s="96">
        <f t="shared" si="245"/>
        <v>0</v>
      </c>
      <c r="M243" s="96">
        <f t="shared" si="246"/>
        <v>0</v>
      </c>
      <c r="N243" s="688">
        <f t="shared" si="247"/>
        <v>0</v>
      </c>
      <c r="O243" s="689"/>
      <c r="Q243" s="95">
        <v>187</v>
      </c>
      <c r="R243" s="101" t="str">
        <f t="shared" si="248"/>
        <v>$0.00</v>
      </c>
      <c r="S243" s="101" t="str">
        <f t="shared" si="249"/>
        <v>$0.00</v>
      </c>
      <c r="T243" s="101" t="str">
        <f t="shared" si="250"/>
        <v>$0.00</v>
      </c>
      <c r="U243" s="688" t="str">
        <f t="shared" si="251"/>
        <v>$0.00</v>
      </c>
      <c r="V243" s="689"/>
      <c r="X243" s="95">
        <v>187</v>
      </c>
      <c r="Y243" s="101" t="str">
        <f t="shared" si="252"/>
        <v>$0.00</v>
      </c>
      <c r="Z243" s="101" t="str">
        <f t="shared" si="253"/>
        <v>$0.00</v>
      </c>
      <c r="AA243" s="101" t="str">
        <f t="shared" si="254"/>
        <v>$0.00</v>
      </c>
      <c r="AB243" s="688" t="str">
        <f t="shared" si="255"/>
        <v>$0.00</v>
      </c>
      <c r="AC243" s="689"/>
    </row>
    <row r="244" spans="3:29" x14ac:dyDescent="0.2">
      <c r="C244" s="95">
        <v>188</v>
      </c>
      <c r="D244" s="101">
        <f t="shared" si="240"/>
        <v>0</v>
      </c>
      <c r="E244" s="101">
        <f t="shared" si="241"/>
        <v>0</v>
      </c>
      <c r="F244" s="101">
        <f t="shared" si="242"/>
        <v>0</v>
      </c>
      <c r="G244" s="688">
        <f t="shared" si="243"/>
        <v>0</v>
      </c>
      <c r="H244" s="689"/>
      <c r="J244" s="95">
        <v>188</v>
      </c>
      <c r="K244" s="96">
        <f t="shared" si="244"/>
        <v>0</v>
      </c>
      <c r="L244" s="96">
        <f t="shared" si="245"/>
        <v>0</v>
      </c>
      <c r="M244" s="96">
        <f t="shared" si="246"/>
        <v>0</v>
      </c>
      <c r="N244" s="688">
        <f t="shared" si="247"/>
        <v>0</v>
      </c>
      <c r="O244" s="689"/>
      <c r="Q244" s="95">
        <v>188</v>
      </c>
      <c r="R244" s="101">
        <f t="shared" si="248"/>
        <v>0</v>
      </c>
      <c r="S244" s="101">
        <f t="shared" si="249"/>
        <v>0</v>
      </c>
      <c r="T244" s="101">
        <f t="shared" si="250"/>
        <v>0</v>
      </c>
      <c r="U244" s="688">
        <f t="shared" si="251"/>
        <v>0</v>
      </c>
      <c r="V244" s="689"/>
      <c r="X244" s="95">
        <v>188</v>
      </c>
      <c r="Y244" s="101">
        <f t="shared" si="252"/>
        <v>0</v>
      </c>
      <c r="Z244" s="101">
        <f t="shared" si="253"/>
        <v>0</v>
      </c>
      <c r="AA244" s="101">
        <f t="shared" si="254"/>
        <v>0</v>
      </c>
      <c r="AB244" s="688">
        <f t="shared" si="255"/>
        <v>0</v>
      </c>
      <c r="AC244" s="689"/>
    </row>
    <row r="245" spans="3:29" x14ac:dyDescent="0.2">
      <c r="C245" s="95">
        <v>189</v>
      </c>
      <c r="D245" s="101" t="str">
        <f t="shared" si="240"/>
        <v>$0.00</v>
      </c>
      <c r="E245" s="101" t="str">
        <f t="shared" si="241"/>
        <v>$0.00</v>
      </c>
      <c r="F245" s="101" t="str">
        <f t="shared" si="242"/>
        <v>$0.00</v>
      </c>
      <c r="G245" s="688" t="str">
        <f t="shared" si="243"/>
        <v>$0.00</v>
      </c>
      <c r="H245" s="689"/>
      <c r="J245" s="95">
        <v>189</v>
      </c>
      <c r="K245" s="96">
        <f t="shared" si="244"/>
        <v>0</v>
      </c>
      <c r="L245" s="96">
        <f t="shared" si="245"/>
        <v>0</v>
      </c>
      <c r="M245" s="96">
        <f t="shared" si="246"/>
        <v>0</v>
      </c>
      <c r="N245" s="688">
        <f t="shared" si="247"/>
        <v>0</v>
      </c>
      <c r="O245" s="689"/>
      <c r="Q245" s="95">
        <v>189</v>
      </c>
      <c r="R245" s="101" t="str">
        <f t="shared" si="248"/>
        <v>$0.00</v>
      </c>
      <c r="S245" s="101" t="str">
        <f t="shared" si="249"/>
        <v>$0.00</v>
      </c>
      <c r="T245" s="101" t="str">
        <f t="shared" si="250"/>
        <v>$0.00</v>
      </c>
      <c r="U245" s="688" t="str">
        <f t="shared" si="251"/>
        <v>$0.00</v>
      </c>
      <c r="V245" s="689"/>
      <c r="X245" s="95">
        <v>189</v>
      </c>
      <c r="Y245" s="101" t="str">
        <f t="shared" si="252"/>
        <v>$0.00</v>
      </c>
      <c r="Z245" s="101" t="str">
        <f t="shared" si="253"/>
        <v>$0.00</v>
      </c>
      <c r="AA245" s="101" t="str">
        <f t="shared" si="254"/>
        <v>$0.00</v>
      </c>
      <c r="AB245" s="688" t="str">
        <f t="shared" si="255"/>
        <v>$0.00</v>
      </c>
      <c r="AC245" s="689"/>
    </row>
    <row r="246" spans="3:29" x14ac:dyDescent="0.2">
      <c r="C246" s="95">
        <v>190</v>
      </c>
      <c r="D246" s="101">
        <f t="shared" si="240"/>
        <v>0</v>
      </c>
      <c r="E246" s="101">
        <f t="shared" si="241"/>
        <v>0</v>
      </c>
      <c r="F246" s="101">
        <f t="shared" si="242"/>
        <v>0</v>
      </c>
      <c r="G246" s="688">
        <f t="shared" si="243"/>
        <v>0</v>
      </c>
      <c r="H246" s="689"/>
      <c r="J246" s="95">
        <v>190</v>
      </c>
      <c r="K246" s="96">
        <f t="shared" si="244"/>
        <v>0</v>
      </c>
      <c r="L246" s="96">
        <f t="shared" si="245"/>
        <v>0</v>
      </c>
      <c r="M246" s="96">
        <f t="shared" si="246"/>
        <v>0</v>
      </c>
      <c r="N246" s="688">
        <f t="shared" si="247"/>
        <v>0</v>
      </c>
      <c r="O246" s="689"/>
      <c r="Q246" s="95">
        <v>190</v>
      </c>
      <c r="R246" s="101">
        <f t="shared" si="248"/>
        <v>0</v>
      </c>
      <c r="S246" s="101">
        <f t="shared" si="249"/>
        <v>0</v>
      </c>
      <c r="T246" s="101">
        <f t="shared" si="250"/>
        <v>0</v>
      </c>
      <c r="U246" s="688">
        <f t="shared" si="251"/>
        <v>0</v>
      </c>
      <c r="V246" s="689"/>
      <c r="X246" s="95">
        <v>190</v>
      </c>
      <c r="Y246" s="101">
        <f t="shared" si="252"/>
        <v>0</v>
      </c>
      <c r="Z246" s="101">
        <f t="shared" si="253"/>
        <v>0</v>
      </c>
      <c r="AA246" s="101">
        <f t="shared" si="254"/>
        <v>0</v>
      </c>
      <c r="AB246" s="688">
        <f t="shared" si="255"/>
        <v>0</v>
      </c>
      <c r="AC246" s="689"/>
    </row>
    <row r="247" spans="3:29" x14ac:dyDescent="0.2">
      <c r="C247" s="95">
        <v>191</v>
      </c>
      <c r="D247" s="101" t="str">
        <f t="shared" si="240"/>
        <v>$0.00</v>
      </c>
      <c r="E247" s="101" t="str">
        <f t="shared" si="241"/>
        <v>$0.00</v>
      </c>
      <c r="F247" s="101" t="str">
        <f t="shared" si="242"/>
        <v>$0.00</v>
      </c>
      <c r="G247" s="688" t="str">
        <f t="shared" si="243"/>
        <v>$0.00</v>
      </c>
      <c r="H247" s="689"/>
      <c r="J247" s="95">
        <v>191</v>
      </c>
      <c r="K247" s="96">
        <f t="shared" si="244"/>
        <v>0</v>
      </c>
      <c r="L247" s="96">
        <f t="shared" si="245"/>
        <v>0</v>
      </c>
      <c r="M247" s="96">
        <f t="shared" si="246"/>
        <v>0</v>
      </c>
      <c r="N247" s="688">
        <f t="shared" si="247"/>
        <v>0</v>
      </c>
      <c r="O247" s="689"/>
      <c r="Q247" s="95">
        <v>191</v>
      </c>
      <c r="R247" s="101" t="str">
        <f t="shared" si="248"/>
        <v>$0.00</v>
      </c>
      <c r="S247" s="101" t="str">
        <f t="shared" si="249"/>
        <v>$0.00</v>
      </c>
      <c r="T247" s="101" t="str">
        <f t="shared" si="250"/>
        <v>$0.00</v>
      </c>
      <c r="U247" s="688" t="str">
        <f t="shared" si="251"/>
        <v>$0.00</v>
      </c>
      <c r="V247" s="689"/>
      <c r="X247" s="95">
        <v>191</v>
      </c>
      <c r="Y247" s="101" t="str">
        <f t="shared" si="252"/>
        <v>$0.00</v>
      </c>
      <c r="Z247" s="101" t="str">
        <f t="shared" si="253"/>
        <v>$0.00</v>
      </c>
      <c r="AA247" s="101" t="str">
        <f t="shared" si="254"/>
        <v>$0.00</v>
      </c>
      <c r="AB247" s="688" t="str">
        <f t="shared" si="255"/>
        <v>$0.00</v>
      </c>
      <c r="AC247" s="689"/>
    </row>
    <row r="248" spans="3:29" x14ac:dyDescent="0.2">
      <c r="C248" s="95">
        <v>192</v>
      </c>
      <c r="D248" s="101">
        <f t="shared" si="240"/>
        <v>0</v>
      </c>
      <c r="E248" s="101">
        <f t="shared" si="241"/>
        <v>0</v>
      </c>
      <c r="F248" s="101">
        <f t="shared" si="242"/>
        <v>0</v>
      </c>
      <c r="G248" s="690">
        <f t="shared" si="243"/>
        <v>0</v>
      </c>
      <c r="H248" s="691"/>
      <c r="J248" s="95">
        <v>192</v>
      </c>
      <c r="K248" s="96">
        <f t="shared" si="244"/>
        <v>0</v>
      </c>
      <c r="L248" s="96">
        <f t="shared" si="245"/>
        <v>0</v>
      </c>
      <c r="M248" s="96">
        <f t="shared" si="246"/>
        <v>0</v>
      </c>
      <c r="N248" s="690">
        <f t="shared" si="247"/>
        <v>0</v>
      </c>
      <c r="O248" s="691"/>
      <c r="Q248" s="95">
        <v>192</v>
      </c>
      <c r="R248" s="101">
        <f t="shared" si="248"/>
        <v>0</v>
      </c>
      <c r="S248" s="101">
        <f t="shared" si="249"/>
        <v>0</v>
      </c>
      <c r="T248" s="101">
        <f t="shared" si="250"/>
        <v>0</v>
      </c>
      <c r="U248" s="690">
        <f t="shared" si="251"/>
        <v>0</v>
      </c>
      <c r="V248" s="691"/>
      <c r="X248" s="95">
        <v>192</v>
      </c>
      <c r="Y248" s="101">
        <f t="shared" si="252"/>
        <v>0</v>
      </c>
      <c r="Z248" s="101">
        <f t="shared" si="253"/>
        <v>0</v>
      </c>
      <c r="AA248" s="101">
        <f t="shared" si="254"/>
        <v>0</v>
      </c>
      <c r="AB248" s="690">
        <f t="shared" si="255"/>
        <v>0</v>
      </c>
      <c r="AC248" s="691"/>
    </row>
    <row r="249" spans="3:29" x14ac:dyDescent="0.2">
      <c r="C249" s="97" t="s">
        <v>807</v>
      </c>
      <c r="D249" s="104">
        <f>SUM(D237:D248)</f>
        <v>0</v>
      </c>
      <c r="E249" s="104">
        <f>SUM(E237:E248)</f>
        <v>0</v>
      </c>
      <c r="F249" s="104">
        <f>SUM(F237:F248)</f>
        <v>0</v>
      </c>
      <c r="G249" s="692">
        <f>G248</f>
        <v>0</v>
      </c>
      <c r="H249" s="693"/>
      <c r="J249" s="97" t="s">
        <v>807</v>
      </c>
      <c r="K249" s="86">
        <f>SUM(K237:K248)</f>
        <v>0</v>
      </c>
      <c r="L249" s="86">
        <f>SUM(L237:L248)</f>
        <v>0</v>
      </c>
      <c r="M249" s="86">
        <f>SUM(M237:M248)</f>
        <v>0</v>
      </c>
      <c r="N249" s="692">
        <f>N248</f>
        <v>0</v>
      </c>
      <c r="O249" s="711"/>
      <c r="Q249" s="97" t="s">
        <v>807</v>
      </c>
      <c r="R249" s="104">
        <f>SUM(R237:R248)</f>
        <v>0</v>
      </c>
      <c r="S249" s="104">
        <f>SUM(S237:S248)</f>
        <v>0</v>
      </c>
      <c r="T249" s="104">
        <f>SUM(T237:T248)</f>
        <v>0</v>
      </c>
      <c r="U249" s="692">
        <f>U248</f>
        <v>0</v>
      </c>
      <c r="V249" s="693"/>
      <c r="X249" s="97" t="s">
        <v>807</v>
      </c>
      <c r="Y249" s="104">
        <f>SUM(Y237:Y248)</f>
        <v>0</v>
      </c>
      <c r="Z249" s="104">
        <f>SUM(Z237:Z248)</f>
        <v>0</v>
      </c>
      <c r="AA249" s="104">
        <f>SUM(AA237:AA248)</f>
        <v>0</v>
      </c>
      <c r="AB249" s="692">
        <f>AB248</f>
        <v>0</v>
      </c>
      <c r="AC249" s="693"/>
    </row>
    <row r="250" spans="3:29" x14ac:dyDescent="0.2">
      <c r="C250" s="95">
        <v>193</v>
      </c>
      <c r="D250" s="101" t="str">
        <f t="shared" ref="D250:D261" si="256">IF(G249&gt;0,G249*($E$36)/12,"$0.00")</f>
        <v>$0.00</v>
      </c>
      <c r="E250" s="101" t="str">
        <f t="shared" ref="E250:E261" si="257">IF(G249&gt;0,IF($E$38=4,"$0.00",IF($E$38=3,"$0.00",IF($E$38=2,"$0.00",+$G$39-D250))),"$0.00")</f>
        <v>$0.00</v>
      </c>
      <c r="F250" s="101" t="str">
        <f t="shared" ref="F250:F261" si="258">IF(G249=0,"$0.00",IF($E$38=4,"$0.00",IF($E$38=3,"$0.00",IF($E$38=2,D250,D250+E250))))</f>
        <v>$0.00</v>
      </c>
      <c r="G250" s="688" t="str">
        <f t="shared" ref="G250:G261" si="259">IF(G249=0,"$0.00",IF($E$38=4,G249+D250,IF($E$38=3,G249+D250,IF($E$38=2,G249,G249-E250))))</f>
        <v>$0.00</v>
      </c>
      <c r="H250" s="689"/>
      <c r="J250" s="95">
        <v>193</v>
      </c>
      <c r="K250" s="96">
        <f t="shared" ref="K250:K261" si="260">N249*($L$36)/12</f>
        <v>0</v>
      </c>
      <c r="L250" s="96">
        <f t="shared" ref="L250:L261" si="261">IF(L246=4,"$0.00",+$N$39-K250)</f>
        <v>0</v>
      </c>
      <c r="M250" s="96">
        <f t="shared" ref="M250:M261" si="262">IF(L246=4,"$0.00",K250+L250)</f>
        <v>0</v>
      </c>
      <c r="N250" s="709">
        <f t="shared" ref="N250:N261" si="263">IF(L246=4,N249+K250,N249-L250)</f>
        <v>0</v>
      </c>
      <c r="O250" s="710"/>
      <c r="Q250" s="95">
        <v>193</v>
      </c>
      <c r="R250" s="101" t="str">
        <f t="shared" ref="R250:R261" si="264">IF(U249&gt;0,U249*($S$36)/12,"$0.00")</f>
        <v>$0.00</v>
      </c>
      <c r="S250" s="101" t="str">
        <f t="shared" ref="S250:S261" si="265">IF(U249&gt;0,IF($S$38=4,"$0.00",IF($S$38=3,"$0.00",IF($S$38=2,"$0.00",+$U$39-R250))),"$0.00")</f>
        <v>$0.00</v>
      </c>
      <c r="T250" s="101" t="str">
        <f t="shared" ref="T250:T261" si="266">IF(U249=0,"$0.00",IF($S$38=4,"$0.00",IF($S$38=3,"$0.00",IF($S$38=2,R250,R250+S250))))</f>
        <v>$0.00</v>
      </c>
      <c r="U250" s="688" t="str">
        <f t="shared" ref="U250:U261" si="267">IF(U249=0,"$0.00",IF($S$38=4,U249+R250,IF($S$38=3,U249+R250,IF($S$38=2,U249,U249-S250))))</f>
        <v>$0.00</v>
      </c>
      <c r="V250" s="689"/>
      <c r="X250" s="95">
        <v>193</v>
      </c>
      <c r="Y250" s="101" t="str">
        <f t="shared" ref="Y250:Y261" si="268">IF(AB249&gt;0,AB249*($Z$36)/12,"$0.00")</f>
        <v>$0.00</v>
      </c>
      <c r="Z250" s="101" t="str">
        <f t="shared" ref="Z250:Z261" si="269">IF(AB249&gt;0,IF($Z$38=4,"$0.00",IF($Z$38=3,"$0.00",IF($Z$38=2,"$0.00",+$AB$39-Y250))),"$0.00")</f>
        <v>$0.00</v>
      </c>
      <c r="AA250" s="101" t="str">
        <f t="shared" ref="AA250:AA261" si="270">IF(AB249=0,"$0.00",IF($Z$38=4,"$0.00",IF($Z$38=3,"$0.00",IF($Z$38=2,Y250,Y250+Z250))))</f>
        <v>$0.00</v>
      </c>
      <c r="AB250" s="688" t="str">
        <f t="shared" ref="AB250:AB261" si="271">IF(AB249=0,"$0.00",IF($Z$38=4,AB249+Y250,IF($Z$38=3,AB249+Y250,IF($Z$38=2,AB249,AB249-Z250))))</f>
        <v>$0.00</v>
      </c>
      <c r="AC250" s="689"/>
    </row>
    <row r="251" spans="3:29" x14ac:dyDescent="0.2">
      <c r="C251" s="95">
        <v>194</v>
      </c>
      <c r="D251" s="101">
        <f t="shared" si="256"/>
        <v>0</v>
      </c>
      <c r="E251" s="101">
        <f t="shared" si="257"/>
        <v>0</v>
      </c>
      <c r="F251" s="101">
        <f t="shared" si="258"/>
        <v>0</v>
      </c>
      <c r="G251" s="688">
        <f t="shared" si="259"/>
        <v>0</v>
      </c>
      <c r="H251" s="689"/>
      <c r="J251" s="95">
        <v>194</v>
      </c>
      <c r="K251" s="96">
        <f t="shared" si="260"/>
        <v>0</v>
      </c>
      <c r="L251" s="96">
        <f t="shared" si="261"/>
        <v>0</v>
      </c>
      <c r="M251" s="96">
        <f t="shared" si="262"/>
        <v>0</v>
      </c>
      <c r="N251" s="688">
        <f t="shared" si="263"/>
        <v>0</v>
      </c>
      <c r="O251" s="689"/>
      <c r="Q251" s="95">
        <v>194</v>
      </c>
      <c r="R251" s="101">
        <f t="shared" si="264"/>
        <v>0</v>
      </c>
      <c r="S251" s="101">
        <f t="shared" si="265"/>
        <v>0</v>
      </c>
      <c r="T251" s="101">
        <f t="shared" si="266"/>
        <v>0</v>
      </c>
      <c r="U251" s="688">
        <f t="shared" si="267"/>
        <v>0</v>
      </c>
      <c r="V251" s="689"/>
      <c r="X251" s="95">
        <v>194</v>
      </c>
      <c r="Y251" s="101">
        <f t="shared" si="268"/>
        <v>0</v>
      </c>
      <c r="Z251" s="101">
        <f t="shared" si="269"/>
        <v>0</v>
      </c>
      <c r="AA251" s="101">
        <f t="shared" si="270"/>
        <v>0</v>
      </c>
      <c r="AB251" s="688">
        <f t="shared" si="271"/>
        <v>0</v>
      </c>
      <c r="AC251" s="689"/>
    </row>
    <row r="252" spans="3:29" x14ac:dyDescent="0.2">
      <c r="C252" s="95">
        <v>195</v>
      </c>
      <c r="D252" s="101" t="str">
        <f t="shared" si="256"/>
        <v>$0.00</v>
      </c>
      <c r="E252" s="101" t="str">
        <f t="shared" si="257"/>
        <v>$0.00</v>
      </c>
      <c r="F252" s="101" t="str">
        <f t="shared" si="258"/>
        <v>$0.00</v>
      </c>
      <c r="G252" s="688" t="str">
        <f t="shared" si="259"/>
        <v>$0.00</v>
      </c>
      <c r="H252" s="689"/>
      <c r="J252" s="95">
        <v>195</v>
      </c>
      <c r="K252" s="96">
        <f t="shared" si="260"/>
        <v>0</v>
      </c>
      <c r="L252" s="96">
        <f t="shared" si="261"/>
        <v>0</v>
      </c>
      <c r="M252" s="96">
        <f t="shared" si="262"/>
        <v>0</v>
      </c>
      <c r="N252" s="688">
        <f t="shared" si="263"/>
        <v>0</v>
      </c>
      <c r="O252" s="689"/>
      <c r="Q252" s="95">
        <v>195</v>
      </c>
      <c r="R252" s="101" t="str">
        <f t="shared" si="264"/>
        <v>$0.00</v>
      </c>
      <c r="S252" s="101" t="str">
        <f t="shared" si="265"/>
        <v>$0.00</v>
      </c>
      <c r="T252" s="101" t="str">
        <f t="shared" si="266"/>
        <v>$0.00</v>
      </c>
      <c r="U252" s="688" t="str">
        <f t="shared" si="267"/>
        <v>$0.00</v>
      </c>
      <c r="V252" s="689"/>
      <c r="X252" s="95">
        <v>195</v>
      </c>
      <c r="Y252" s="101" t="str">
        <f t="shared" si="268"/>
        <v>$0.00</v>
      </c>
      <c r="Z252" s="101" t="str">
        <f t="shared" si="269"/>
        <v>$0.00</v>
      </c>
      <c r="AA252" s="101" t="str">
        <f t="shared" si="270"/>
        <v>$0.00</v>
      </c>
      <c r="AB252" s="688" t="str">
        <f t="shared" si="271"/>
        <v>$0.00</v>
      </c>
      <c r="AC252" s="689"/>
    </row>
    <row r="253" spans="3:29" x14ac:dyDescent="0.2">
      <c r="C253" s="95">
        <v>196</v>
      </c>
      <c r="D253" s="101">
        <f t="shared" si="256"/>
        <v>0</v>
      </c>
      <c r="E253" s="101">
        <f t="shared" si="257"/>
        <v>0</v>
      </c>
      <c r="F253" s="101">
        <f t="shared" si="258"/>
        <v>0</v>
      </c>
      <c r="G253" s="688">
        <f t="shared" si="259"/>
        <v>0</v>
      </c>
      <c r="H253" s="689"/>
      <c r="J253" s="95">
        <v>196</v>
      </c>
      <c r="K253" s="96">
        <f t="shared" si="260"/>
        <v>0</v>
      </c>
      <c r="L253" s="96">
        <f t="shared" si="261"/>
        <v>0</v>
      </c>
      <c r="M253" s="96">
        <f t="shared" si="262"/>
        <v>0</v>
      </c>
      <c r="N253" s="688">
        <f t="shared" si="263"/>
        <v>0</v>
      </c>
      <c r="O253" s="689"/>
      <c r="Q253" s="95">
        <v>196</v>
      </c>
      <c r="R253" s="101">
        <f t="shared" si="264"/>
        <v>0</v>
      </c>
      <c r="S253" s="101">
        <f t="shared" si="265"/>
        <v>0</v>
      </c>
      <c r="T253" s="101">
        <f t="shared" si="266"/>
        <v>0</v>
      </c>
      <c r="U253" s="688">
        <f t="shared" si="267"/>
        <v>0</v>
      </c>
      <c r="V253" s="689"/>
      <c r="X253" s="95">
        <v>196</v>
      </c>
      <c r="Y253" s="101">
        <f t="shared" si="268"/>
        <v>0</v>
      </c>
      <c r="Z253" s="101">
        <f t="shared" si="269"/>
        <v>0</v>
      </c>
      <c r="AA253" s="101">
        <f t="shared" si="270"/>
        <v>0</v>
      </c>
      <c r="AB253" s="688">
        <f t="shared" si="271"/>
        <v>0</v>
      </c>
      <c r="AC253" s="689"/>
    </row>
    <row r="254" spans="3:29" x14ac:dyDescent="0.2">
      <c r="C254" s="95">
        <v>197</v>
      </c>
      <c r="D254" s="101" t="str">
        <f t="shared" si="256"/>
        <v>$0.00</v>
      </c>
      <c r="E254" s="101" t="str">
        <f t="shared" si="257"/>
        <v>$0.00</v>
      </c>
      <c r="F254" s="101" t="str">
        <f t="shared" si="258"/>
        <v>$0.00</v>
      </c>
      <c r="G254" s="688" t="str">
        <f t="shared" si="259"/>
        <v>$0.00</v>
      </c>
      <c r="H254" s="689"/>
      <c r="J254" s="95">
        <v>197</v>
      </c>
      <c r="K254" s="96">
        <f t="shared" si="260"/>
        <v>0</v>
      </c>
      <c r="L254" s="96">
        <f t="shared" si="261"/>
        <v>0</v>
      </c>
      <c r="M254" s="96">
        <f t="shared" si="262"/>
        <v>0</v>
      </c>
      <c r="N254" s="688">
        <f t="shared" si="263"/>
        <v>0</v>
      </c>
      <c r="O254" s="689"/>
      <c r="Q254" s="95">
        <v>197</v>
      </c>
      <c r="R254" s="101" t="str">
        <f t="shared" si="264"/>
        <v>$0.00</v>
      </c>
      <c r="S254" s="101" t="str">
        <f t="shared" si="265"/>
        <v>$0.00</v>
      </c>
      <c r="T254" s="101" t="str">
        <f t="shared" si="266"/>
        <v>$0.00</v>
      </c>
      <c r="U254" s="688" t="str">
        <f t="shared" si="267"/>
        <v>$0.00</v>
      </c>
      <c r="V254" s="689"/>
      <c r="X254" s="95">
        <v>197</v>
      </c>
      <c r="Y254" s="101" t="str">
        <f t="shared" si="268"/>
        <v>$0.00</v>
      </c>
      <c r="Z254" s="101" t="str">
        <f t="shared" si="269"/>
        <v>$0.00</v>
      </c>
      <c r="AA254" s="101" t="str">
        <f t="shared" si="270"/>
        <v>$0.00</v>
      </c>
      <c r="AB254" s="688" t="str">
        <f t="shared" si="271"/>
        <v>$0.00</v>
      </c>
      <c r="AC254" s="689"/>
    </row>
    <row r="255" spans="3:29" x14ac:dyDescent="0.2">
      <c r="C255" s="95">
        <v>198</v>
      </c>
      <c r="D255" s="101">
        <f t="shared" si="256"/>
        <v>0</v>
      </c>
      <c r="E255" s="101">
        <f t="shared" si="257"/>
        <v>0</v>
      </c>
      <c r="F255" s="101">
        <f t="shared" si="258"/>
        <v>0</v>
      </c>
      <c r="G255" s="688">
        <f t="shared" si="259"/>
        <v>0</v>
      </c>
      <c r="H255" s="689"/>
      <c r="J255" s="95">
        <v>198</v>
      </c>
      <c r="K255" s="96">
        <f t="shared" si="260"/>
        <v>0</v>
      </c>
      <c r="L255" s="96">
        <f t="shared" si="261"/>
        <v>0</v>
      </c>
      <c r="M255" s="96">
        <f t="shared" si="262"/>
        <v>0</v>
      </c>
      <c r="N255" s="688">
        <f t="shared" si="263"/>
        <v>0</v>
      </c>
      <c r="O255" s="689"/>
      <c r="Q255" s="95">
        <v>198</v>
      </c>
      <c r="R255" s="101">
        <f t="shared" si="264"/>
        <v>0</v>
      </c>
      <c r="S255" s="101">
        <f t="shared" si="265"/>
        <v>0</v>
      </c>
      <c r="T255" s="101">
        <f t="shared" si="266"/>
        <v>0</v>
      </c>
      <c r="U255" s="688">
        <f t="shared" si="267"/>
        <v>0</v>
      </c>
      <c r="V255" s="689"/>
      <c r="X255" s="95">
        <v>198</v>
      </c>
      <c r="Y255" s="101">
        <f t="shared" si="268"/>
        <v>0</v>
      </c>
      <c r="Z255" s="101">
        <f t="shared" si="269"/>
        <v>0</v>
      </c>
      <c r="AA255" s="101">
        <f t="shared" si="270"/>
        <v>0</v>
      </c>
      <c r="AB255" s="688">
        <f t="shared" si="271"/>
        <v>0</v>
      </c>
      <c r="AC255" s="689"/>
    </row>
    <row r="256" spans="3:29" x14ac:dyDescent="0.2">
      <c r="C256" s="95">
        <v>199</v>
      </c>
      <c r="D256" s="101" t="str">
        <f t="shared" si="256"/>
        <v>$0.00</v>
      </c>
      <c r="E256" s="101" t="str">
        <f t="shared" si="257"/>
        <v>$0.00</v>
      </c>
      <c r="F256" s="101" t="str">
        <f t="shared" si="258"/>
        <v>$0.00</v>
      </c>
      <c r="G256" s="688" t="str">
        <f t="shared" si="259"/>
        <v>$0.00</v>
      </c>
      <c r="H256" s="689"/>
      <c r="J256" s="95">
        <v>199</v>
      </c>
      <c r="K256" s="96">
        <f t="shared" si="260"/>
        <v>0</v>
      </c>
      <c r="L256" s="96">
        <f t="shared" si="261"/>
        <v>0</v>
      </c>
      <c r="M256" s="96">
        <f t="shared" si="262"/>
        <v>0</v>
      </c>
      <c r="N256" s="688">
        <f t="shared" si="263"/>
        <v>0</v>
      </c>
      <c r="O256" s="689"/>
      <c r="Q256" s="95">
        <v>199</v>
      </c>
      <c r="R256" s="101" t="str">
        <f t="shared" si="264"/>
        <v>$0.00</v>
      </c>
      <c r="S256" s="101" t="str">
        <f t="shared" si="265"/>
        <v>$0.00</v>
      </c>
      <c r="T256" s="101" t="str">
        <f t="shared" si="266"/>
        <v>$0.00</v>
      </c>
      <c r="U256" s="688" t="str">
        <f t="shared" si="267"/>
        <v>$0.00</v>
      </c>
      <c r="V256" s="689"/>
      <c r="X256" s="95">
        <v>199</v>
      </c>
      <c r="Y256" s="101" t="str">
        <f t="shared" si="268"/>
        <v>$0.00</v>
      </c>
      <c r="Z256" s="101" t="str">
        <f t="shared" si="269"/>
        <v>$0.00</v>
      </c>
      <c r="AA256" s="101" t="str">
        <f t="shared" si="270"/>
        <v>$0.00</v>
      </c>
      <c r="AB256" s="688" t="str">
        <f t="shared" si="271"/>
        <v>$0.00</v>
      </c>
      <c r="AC256" s="689"/>
    </row>
    <row r="257" spans="3:29" x14ac:dyDescent="0.2">
      <c r="C257" s="95">
        <v>200</v>
      </c>
      <c r="D257" s="101">
        <f t="shared" si="256"/>
        <v>0</v>
      </c>
      <c r="E257" s="101">
        <f t="shared" si="257"/>
        <v>0</v>
      </c>
      <c r="F257" s="101">
        <f t="shared" si="258"/>
        <v>0</v>
      </c>
      <c r="G257" s="688">
        <f t="shared" si="259"/>
        <v>0</v>
      </c>
      <c r="H257" s="689"/>
      <c r="J257" s="95">
        <v>200</v>
      </c>
      <c r="K257" s="96">
        <f t="shared" si="260"/>
        <v>0</v>
      </c>
      <c r="L257" s="96">
        <f t="shared" si="261"/>
        <v>0</v>
      </c>
      <c r="M257" s="96">
        <f t="shared" si="262"/>
        <v>0</v>
      </c>
      <c r="N257" s="688">
        <f t="shared" si="263"/>
        <v>0</v>
      </c>
      <c r="O257" s="689"/>
      <c r="Q257" s="95">
        <v>200</v>
      </c>
      <c r="R257" s="101">
        <f t="shared" si="264"/>
        <v>0</v>
      </c>
      <c r="S257" s="101">
        <f t="shared" si="265"/>
        <v>0</v>
      </c>
      <c r="T257" s="101">
        <f t="shared" si="266"/>
        <v>0</v>
      </c>
      <c r="U257" s="688">
        <f t="shared" si="267"/>
        <v>0</v>
      </c>
      <c r="V257" s="689"/>
      <c r="X257" s="95">
        <v>200</v>
      </c>
      <c r="Y257" s="101">
        <f t="shared" si="268"/>
        <v>0</v>
      </c>
      <c r="Z257" s="101">
        <f t="shared" si="269"/>
        <v>0</v>
      </c>
      <c r="AA257" s="101">
        <f t="shared" si="270"/>
        <v>0</v>
      </c>
      <c r="AB257" s="688">
        <f t="shared" si="271"/>
        <v>0</v>
      </c>
      <c r="AC257" s="689"/>
    </row>
    <row r="258" spans="3:29" x14ac:dyDescent="0.2">
      <c r="C258" s="95">
        <v>201</v>
      </c>
      <c r="D258" s="101" t="str">
        <f t="shared" si="256"/>
        <v>$0.00</v>
      </c>
      <c r="E258" s="101" t="str">
        <f t="shared" si="257"/>
        <v>$0.00</v>
      </c>
      <c r="F258" s="101" t="str">
        <f t="shared" si="258"/>
        <v>$0.00</v>
      </c>
      <c r="G258" s="688" t="str">
        <f t="shared" si="259"/>
        <v>$0.00</v>
      </c>
      <c r="H258" s="689"/>
      <c r="J258" s="95">
        <v>201</v>
      </c>
      <c r="K258" s="96">
        <f t="shared" si="260"/>
        <v>0</v>
      </c>
      <c r="L258" s="96">
        <f t="shared" si="261"/>
        <v>0</v>
      </c>
      <c r="M258" s="96">
        <f t="shared" si="262"/>
        <v>0</v>
      </c>
      <c r="N258" s="688">
        <f t="shared" si="263"/>
        <v>0</v>
      </c>
      <c r="O258" s="689"/>
      <c r="Q258" s="95">
        <v>201</v>
      </c>
      <c r="R258" s="101" t="str">
        <f t="shared" si="264"/>
        <v>$0.00</v>
      </c>
      <c r="S258" s="101" t="str">
        <f t="shared" si="265"/>
        <v>$0.00</v>
      </c>
      <c r="T258" s="101" t="str">
        <f t="shared" si="266"/>
        <v>$0.00</v>
      </c>
      <c r="U258" s="688" t="str">
        <f t="shared" si="267"/>
        <v>$0.00</v>
      </c>
      <c r="V258" s="689"/>
      <c r="X258" s="95">
        <v>201</v>
      </c>
      <c r="Y258" s="101" t="str">
        <f t="shared" si="268"/>
        <v>$0.00</v>
      </c>
      <c r="Z258" s="101" t="str">
        <f t="shared" si="269"/>
        <v>$0.00</v>
      </c>
      <c r="AA258" s="101" t="str">
        <f t="shared" si="270"/>
        <v>$0.00</v>
      </c>
      <c r="AB258" s="688" t="str">
        <f t="shared" si="271"/>
        <v>$0.00</v>
      </c>
      <c r="AC258" s="689"/>
    </row>
    <row r="259" spans="3:29" x14ac:dyDescent="0.2">
      <c r="C259" s="95">
        <v>202</v>
      </c>
      <c r="D259" s="101">
        <f t="shared" si="256"/>
        <v>0</v>
      </c>
      <c r="E259" s="101">
        <f t="shared" si="257"/>
        <v>0</v>
      </c>
      <c r="F259" s="101">
        <f t="shared" si="258"/>
        <v>0</v>
      </c>
      <c r="G259" s="688">
        <f t="shared" si="259"/>
        <v>0</v>
      </c>
      <c r="H259" s="689"/>
      <c r="J259" s="95">
        <v>202</v>
      </c>
      <c r="K259" s="96">
        <f t="shared" si="260"/>
        <v>0</v>
      </c>
      <c r="L259" s="96">
        <f t="shared" si="261"/>
        <v>0</v>
      </c>
      <c r="M259" s="96">
        <f t="shared" si="262"/>
        <v>0</v>
      </c>
      <c r="N259" s="688">
        <f t="shared" si="263"/>
        <v>0</v>
      </c>
      <c r="O259" s="689"/>
      <c r="Q259" s="95">
        <v>202</v>
      </c>
      <c r="R259" s="101">
        <f t="shared" si="264"/>
        <v>0</v>
      </c>
      <c r="S259" s="101">
        <f t="shared" si="265"/>
        <v>0</v>
      </c>
      <c r="T259" s="101">
        <f t="shared" si="266"/>
        <v>0</v>
      </c>
      <c r="U259" s="688">
        <f t="shared" si="267"/>
        <v>0</v>
      </c>
      <c r="V259" s="689"/>
      <c r="X259" s="95">
        <v>202</v>
      </c>
      <c r="Y259" s="101">
        <f t="shared" si="268"/>
        <v>0</v>
      </c>
      <c r="Z259" s="101">
        <f t="shared" si="269"/>
        <v>0</v>
      </c>
      <c r="AA259" s="101">
        <f t="shared" si="270"/>
        <v>0</v>
      </c>
      <c r="AB259" s="688">
        <f t="shared" si="271"/>
        <v>0</v>
      </c>
      <c r="AC259" s="689"/>
    </row>
    <row r="260" spans="3:29" x14ac:dyDescent="0.2">
      <c r="C260" s="95">
        <v>203</v>
      </c>
      <c r="D260" s="101" t="str">
        <f t="shared" si="256"/>
        <v>$0.00</v>
      </c>
      <c r="E260" s="101" t="str">
        <f t="shared" si="257"/>
        <v>$0.00</v>
      </c>
      <c r="F260" s="101" t="str">
        <f t="shared" si="258"/>
        <v>$0.00</v>
      </c>
      <c r="G260" s="688" t="str">
        <f t="shared" si="259"/>
        <v>$0.00</v>
      </c>
      <c r="H260" s="689"/>
      <c r="J260" s="95">
        <v>203</v>
      </c>
      <c r="K260" s="96">
        <f t="shared" si="260"/>
        <v>0</v>
      </c>
      <c r="L260" s="96">
        <f t="shared" si="261"/>
        <v>0</v>
      </c>
      <c r="M260" s="96">
        <f t="shared" si="262"/>
        <v>0</v>
      </c>
      <c r="N260" s="688">
        <f t="shared" si="263"/>
        <v>0</v>
      </c>
      <c r="O260" s="689"/>
      <c r="Q260" s="95">
        <v>203</v>
      </c>
      <c r="R260" s="101" t="str">
        <f t="shared" si="264"/>
        <v>$0.00</v>
      </c>
      <c r="S260" s="101" t="str">
        <f t="shared" si="265"/>
        <v>$0.00</v>
      </c>
      <c r="T260" s="101" t="str">
        <f t="shared" si="266"/>
        <v>$0.00</v>
      </c>
      <c r="U260" s="688" t="str">
        <f t="shared" si="267"/>
        <v>$0.00</v>
      </c>
      <c r="V260" s="689"/>
      <c r="X260" s="95">
        <v>203</v>
      </c>
      <c r="Y260" s="101" t="str">
        <f t="shared" si="268"/>
        <v>$0.00</v>
      </c>
      <c r="Z260" s="101" t="str">
        <f t="shared" si="269"/>
        <v>$0.00</v>
      </c>
      <c r="AA260" s="101" t="str">
        <f t="shared" si="270"/>
        <v>$0.00</v>
      </c>
      <c r="AB260" s="688" t="str">
        <f t="shared" si="271"/>
        <v>$0.00</v>
      </c>
      <c r="AC260" s="689"/>
    </row>
    <row r="261" spans="3:29" x14ac:dyDescent="0.2">
      <c r="C261" s="95">
        <v>204</v>
      </c>
      <c r="D261" s="101">
        <f t="shared" si="256"/>
        <v>0</v>
      </c>
      <c r="E261" s="101">
        <f t="shared" si="257"/>
        <v>0</v>
      </c>
      <c r="F261" s="101">
        <f t="shared" si="258"/>
        <v>0</v>
      </c>
      <c r="G261" s="690">
        <f t="shared" si="259"/>
        <v>0</v>
      </c>
      <c r="H261" s="691"/>
      <c r="J261" s="95">
        <v>204</v>
      </c>
      <c r="K261" s="96">
        <f t="shared" si="260"/>
        <v>0</v>
      </c>
      <c r="L261" s="96">
        <f t="shared" si="261"/>
        <v>0</v>
      </c>
      <c r="M261" s="96">
        <f t="shared" si="262"/>
        <v>0</v>
      </c>
      <c r="N261" s="690">
        <f t="shared" si="263"/>
        <v>0</v>
      </c>
      <c r="O261" s="691"/>
      <c r="Q261" s="95">
        <v>204</v>
      </c>
      <c r="R261" s="101">
        <f t="shared" si="264"/>
        <v>0</v>
      </c>
      <c r="S261" s="101">
        <f t="shared" si="265"/>
        <v>0</v>
      </c>
      <c r="T261" s="101">
        <f t="shared" si="266"/>
        <v>0</v>
      </c>
      <c r="U261" s="690">
        <f t="shared" si="267"/>
        <v>0</v>
      </c>
      <c r="V261" s="691"/>
      <c r="X261" s="95">
        <v>204</v>
      </c>
      <c r="Y261" s="101">
        <f t="shared" si="268"/>
        <v>0</v>
      </c>
      <c r="Z261" s="101">
        <f t="shared" si="269"/>
        <v>0</v>
      </c>
      <c r="AA261" s="101">
        <f t="shared" si="270"/>
        <v>0</v>
      </c>
      <c r="AB261" s="690">
        <f t="shared" si="271"/>
        <v>0</v>
      </c>
      <c r="AC261" s="691"/>
    </row>
    <row r="262" spans="3:29" x14ac:dyDescent="0.2">
      <c r="C262" s="97" t="s">
        <v>808</v>
      </c>
      <c r="D262" s="104">
        <f>SUM(D250:D261)</f>
        <v>0</v>
      </c>
      <c r="E262" s="104">
        <f>SUM(E250:E261)</f>
        <v>0</v>
      </c>
      <c r="F262" s="104">
        <f>SUM(F250:F261)</f>
        <v>0</v>
      </c>
      <c r="G262" s="692">
        <f>G261</f>
        <v>0</v>
      </c>
      <c r="H262" s="693"/>
      <c r="J262" s="97" t="s">
        <v>808</v>
      </c>
      <c r="K262" s="86">
        <f>SUM(K250:K261)</f>
        <v>0</v>
      </c>
      <c r="L262" s="86">
        <f>SUM(L250:L261)</f>
        <v>0</v>
      </c>
      <c r="M262" s="86">
        <f>SUM(M250:M261)</f>
        <v>0</v>
      </c>
      <c r="N262" s="692">
        <f>N261</f>
        <v>0</v>
      </c>
      <c r="O262" s="711"/>
      <c r="Q262" s="97" t="s">
        <v>808</v>
      </c>
      <c r="R262" s="104">
        <f>SUM(R250:R261)</f>
        <v>0</v>
      </c>
      <c r="S262" s="104">
        <f>SUM(S250:S261)</f>
        <v>0</v>
      </c>
      <c r="T262" s="104">
        <f>SUM(T250:T261)</f>
        <v>0</v>
      </c>
      <c r="U262" s="692">
        <f>U261</f>
        <v>0</v>
      </c>
      <c r="V262" s="693"/>
      <c r="X262" s="97" t="s">
        <v>808</v>
      </c>
      <c r="Y262" s="104">
        <f>SUM(Y250:Y261)</f>
        <v>0</v>
      </c>
      <c r="Z262" s="104">
        <f>SUM(Z250:Z261)</f>
        <v>0</v>
      </c>
      <c r="AA262" s="104">
        <f>SUM(AA250:AA261)</f>
        <v>0</v>
      </c>
      <c r="AB262" s="692">
        <f>AB261</f>
        <v>0</v>
      </c>
      <c r="AC262" s="693"/>
    </row>
    <row r="263" spans="3:29" x14ac:dyDescent="0.2">
      <c r="C263" s="95">
        <v>205</v>
      </c>
      <c r="D263" s="101" t="str">
        <f t="shared" ref="D263:D274" si="272">IF(G262&gt;0,G262*($E$36)/12,"$0.00")</f>
        <v>$0.00</v>
      </c>
      <c r="E263" s="101" t="str">
        <f t="shared" ref="E263:E274" si="273">IF(G262&gt;0,IF($E$38=4,"$0.00",IF($E$38=3,"$0.00",IF($E$38=2,"$0.00",+$G$39-D263))),"$0.00")</f>
        <v>$0.00</v>
      </c>
      <c r="F263" s="101" t="str">
        <f t="shared" ref="F263:F274" si="274">IF(G262=0,"$0.00",IF($E$38=4,"$0.00",IF($E$38=3,"$0.00",IF($E$38=2,D263,D263+E263))))</f>
        <v>$0.00</v>
      </c>
      <c r="G263" s="688" t="str">
        <f t="shared" ref="G263:G274" si="275">IF(G262=0,"$0.00",IF($E$38=4,G262+D263,IF($E$38=3,G262+D263,IF($E$38=2,G262,G262-E263))))</f>
        <v>$0.00</v>
      </c>
      <c r="H263" s="689"/>
      <c r="J263" s="95">
        <v>205</v>
      </c>
      <c r="K263" s="96">
        <f t="shared" ref="K263:K274" si="276">N262*($L$36)/12</f>
        <v>0</v>
      </c>
      <c r="L263" s="96">
        <f t="shared" ref="L263:L274" si="277">IF(L259=4,"$0.00",+$N$39-K263)</f>
        <v>0</v>
      </c>
      <c r="M263" s="96">
        <f t="shared" ref="M263:M274" si="278">IF(L259=4,"$0.00",K263+L263)</f>
        <v>0</v>
      </c>
      <c r="N263" s="709">
        <f t="shared" ref="N263:N274" si="279">IF(L259=4,N262+K263,N262-L263)</f>
        <v>0</v>
      </c>
      <c r="O263" s="710"/>
      <c r="Q263" s="95">
        <v>205</v>
      </c>
      <c r="R263" s="101" t="str">
        <f t="shared" ref="R263:R274" si="280">IF(U262&gt;0,U262*($S$36)/12,"$0.00")</f>
        <v>$0.00</v>
      </c>
      <c r="S263" s="101" t="str">
        <f t="shared" ref="S263:S274" si="281">IF(U262&gt;0,IF($S$38=4,"$0.00",IF($S$38=3,"$0.00",IF($S$38=2,"$0.00",+$U$39-R263))),"$0.00")</f>
        <v>$0.00</v>
      </c>
      <c r="T263" s="101" t="str">
        <f t="shared" ref="T263:T274" si="282">IF(U262=0,"$0.00",IF($S$38=4,"$0.00",IF($S$38=3,"$0.00",IF($S$38=2,R263,R263+S263))))</f>
        <v>$0.00</v>
      </c>
      <c r="U263" s="688" t="str">
        <f t="shared" ref="U263:U274" si="283">IF(U262=0,"$0.00",IF($S$38=4,U262+R263,IF($S$38=3,U262+R263,IF($S$38=2,U262,U262-S263))))</f>
        <v>$0.00</v>
      </c>
      <c r="V263" s="689"/>
      <c r="X263" s="95">
        <v>205</v>
      </c>
      <c r="Y263" s="101" t="str">
        <f t="shared" ref="Y263:Y274" si="284">IF(AB262&gt;0,AB262*($Z$36)/12,"$0.00")</f>
        <v>$0.00</v>
      </c>
      <c r="Z263" s="101" t="str">
        <f t="shared" ref="Z263:Z274" si="285">IF(AB262&gt;0,IF($Z$38=4,"$0.00",IF($Z$38=3,"$0.00",IF($Z$38=2,"$0.00",+$AB$39-Y263))),"$0.00")</f>
        <v>$0.00</v>
      </c>
      <c r="AA263" s="101" t="str">
        <f t="shared" ref="AA263:AA274" si="286">IF(AB262=0,"$0.00",IF($Z$38=4,"$0.00",IF($Z$38=3,"$0.00",IF($Z$38=2,Y263,Y263+Z263))))</f>
        <v>$0.00</v>
      </c>
      <c r="AB263" s="688" t="str">
        <f t="shared" ref="AB263:AB274" si="287">IF(AB262=0,"$0.00",IF($Z$38=4,AB262+Y263,IF($Z$38=3,AB262+Y263,IF($Z$38=2,AB262,AB262-Z263))))</f>
        <v>$0.00</v>
      </c>
      <c r="AC263" s="689"/>
    </row>
    <row r="264" spans="3:29" x14ac:dyDescent="0.2">
      <c r="C264" s="95">
        <v>206</v>
      </c>
      <c r="D264" s="101">
        <f t="shared" si="272"/>
        <v>0</v>
      </c>
      <c r="E264" s="101">
        <f t="shared" si="273"/>
        <v>0</v>
      </c>
      <c r="F264" s="101">
        <f t="shared" si="274"/>
        <v>0</v>
      </c>
      <c r="G264" s="688">
        <f t="shared" si="275"/>
        <v>0</v>
      </c>
      <c r="H264" s="689"/>
      <c r="J264" s="95">
        <v>206</v>
      </c>
      <c r="K264" s="96">
        <f t="shared" si="276"/>
        <v>0</v>
      </c>
      <c r="L264" s="96">
        <f t="shared" si="277"/>
        <v>0</v>
      </c>
      <c r="M264" s="96">
        <f t="shared" si="278"/>
        <v>0</v>
      </c>
      <c r="N264" s="688">
        <f t="shared" si="279"/>
        <v>0</v>
      </c>
      <c r="O264" s="689"/>
      <c r="Q264" s="95">
        <v>206</v>
      </c>
      <c r="R264" s="101">
        <f t="shared" si="280"/>
        <v>0</v>
      </c>
      <c r="S264" s="101">
        <f t="shared" si="281"/>
        <v>0</v>
      </c>
      <c r="T264" s="101">
        <f t="shared" si="282"/>
        <v>0</v>
      </c>
      <c r="U264" s="688">
        <f t="shared" si="283"/>
        <v>0</v>
      </c>
      <c r="V264" s="689"/>
      <c r="X264" s="95">
        <v>206</v>
      </c>
      <c r="Y264" s="101">
        <f t="shared" si="284"/>
        <v>0</v>
      </c>
      <c r="Z264" s="101">
        <f t="shared" si="285"/>
        <v>0</v>
      </c>
      <c r="AA264" s="101">
        <f t="shared" si="286"/>
        <v>0</v>
      </c>
      <c r="AB264" s="688">
        <f t="shared" si="287"/>
        <v>0</v>
      </c>
      <c r="AC264" s="689"/>
    </row>
    <row r="265" spans="3:29" x14ac:dyDescent="0.2">
      <c r="C265" s="95">
        <v>207</v>
      </c>
      <c r="D265" s="101" t="str">
        <f t="shared" si="272"/>
        <v>$0.00</v>
      </c>
      <c r="E265" s="101" t="str">
        <f t="shared" si="273"/>
        <v>$0.00</v>
      </c>
      <c r="F265" s="101" t="str">
        <f t="shared" si="274"/>
        <v>$0.00</v>
      </c>
      <c r="G265" s="688" t="str">
        <f t="shared" si="275"/>
        <v>$0.00</v>
      </c>
      <c r="H265" s="689"/>
      <c r="J265" s="95">
        <v>207</v>
      </c>
      <c r="K265" s="96">
        <f t="shared" si="276"/>
        <v>0</v>
      </c>
      <c r="L265" s="96">
        <f t="shared" si="277"/>
        <v>0</v>
      </c>
      <c r="M265" s="96">
        <f t="shared" si="278"/>
        <v>0</v>
      </c>
      <c r="N265" s="688">
        <f t="shared" si="279"/>
        <v>0</v>
      </c>
      <c r="O265" s="689"/>
      <c r="Q265" s="95">
        <v>207</v>
      </c>
      <c r="R265" s="101" t="str">
        <f t="shared" si="280"/>
        <v>$0.00</v>
      </c>
      <c r="S265" s="101" t="str">
        <f t="shared" si="281"/>
        <v>$0.00</v>
      </c>
      <c r="T265" s="101" t="str">
        <f t="shared" si="282"/>
        <v>$0.00</v>
      </c>
      <c r="U265" s="688" t="str">
        <f t="shared" si="283"/>
        <v>$0.00</v>
      </c>
      <c r="V265" s="689"/>
      <c r="X265" s="95">
        <v>207</v>
      </c>
      <c r="Y265" s="101" t="str">
        <f t="shared" si="284"/>
        <v>$0.00</v>
      </c>
      <c r="Z265" s="101" t="str">
        <f t="shared" si="285"/>
        <v>$0.00</v>
      </c>
      <c r="AA265" s="101" t="str">
        <f t="shared" si="286"/>
        <v>$0.00</v>
      </c>
      <c r="AB265" s="688" t="str">
        <f t="shared" si="287"/>
        <v>$0.00</v>
      </c>
      <c r="AC265" s="689"/>
    </row>
    <row r="266" spans="3:29" x14ac:dyDescent="0.2">
      <c r="C266" s="95">
        <v>208</v>
      </c>
      <c r="D266" s="101">
        <f t="shared" si="272"/>
        <v>0</v>
      </c>
      <c r="E266" s="101">
        <f t="shared" si="273"/>
        <v>0</v>
      </c>
      <c r="F266" s="101">
        <f t="shared" si="274"/>
        <v>0</v>
      </c>
      <c r="G266" s="688">
        <f t="shared" si="275"/>
        <v>0</v>
      </c>
      <c r="H266" s="689"/>
      <c r="J266" s="95">
        <v>208</v>
      </c>
      <c r="K266" s="96">
        <f t="shared" si="276"/>
        <v>0</v>
      </c>
      <c r="L266" s="96">
        <f t="shared" si="277"/>
        <v>0</v>
      </c>
      <c r="M266" s="96">
        <f t="shared" si="278"/>
        <v>0</v>
      </c>
      <c r="N266" s="688">
        <f t="shared" si="279"/>
        <v>0</v>
      </c>
      <c r="O266" s="689"/>
      <c r="Q266" s="95">
        <v>208</v>
      </c>
      <c r="R266" s="101">
        <f t="shared" si="280"/>
        <v>0</v>
      </c>
      <c r="S266" s="101">
        <f t="shared" si="281"/>
        <v>0</v>
      </c>
      <c r="T266" s="101">
        <f t="shared" si="282"/>
        <v>0</v>
      </c>
      <c r="U266" s="688">
        <f t="shared" si="283"/>
        <v>0</v>
      </c>
      <c r="V266" s="689"/>
      <c r="X266" s="95">
        <v>208</v>
      </c>
      <c r="Y266" s="101">
        <f t="shared" si="284"/>
        <v>0</v>
      </c>
      <c r="Z266" s="101">
        <f t="shared" si="285"/>
        <v>0</v>
      </c>
      <c r="AA266" s="101">
        <f t="shared" si="286"/>
        <v>0</v>
      </c>
      <c r="AB266" s="688">
        <f t="shared" si="287"/>
        <v>0</v>
      </c>
      <c r="AC266" s="689"/>
    </row>
    <row r="267" spans="3:29" x14ac:dyDescent="0.2">
      <c r="C267" s="95">
        <v>209</v>
      </c>
      <c r="D267" s="101" t="str">
        <f t="shared" si="272"/>
        <v>$0.00</v>
      </c>
      <c r="E267" s="101" t="str">
        <f t="shared" si="273"/>
        <v>$0.00</v>
      </c>
      <c r="F267" s="101" t="str">
        <f t="shared" si="274"/>
        <v>$0.00</v>
      </c>
      <c r="G267" s="688" t="str">
        <f t="shared" si="275"/>
        <v>$0.00</v>
      </c>
      <c r="H267" s="689"/>
      <c r="J267" s="95">
        <v>209</v>
      </c>
      <c r="K267" s="96">
        <f t="shared" si="276"/>
        <v>0</v>
      </c>
      <c r="L267" s="96">
        <f t="shared" si="277"/>
        <v>0</v>
      </c>
      <c r="M267" s="96">
        <f t="shared" si="278"/>
        <v>0</v>
      </c>
      <c r="N267" s="688">
        <f t="shared" si="279"/>
        <v>0</v>
      </c>
      <c r="O267" s="689"/>
      <c r="Q267" s="95">
        <v>209</v>
      </c>
      <c r="R267" s="101" t="str">
        <f t="shared" si="280"/>
        <v>$0.00</v>
      </c>
      <c r="S267" s="101" t="str">
        <f t="shared" si="281"/>
        <v>$0.00</v>
      </c>
      <c r="T267" s="101" t="str">
        <f t="shared" si="282"/>
        <v>$0.00</v>
      </c>
      <c r="U267" s="688" t="str">
        <f t="shared" si="283"/>
        <v>$0.00</v>
      </c>
      <c r="V267" s="689"/>
      <c r="X267" s="95">
        <v>209</v>
      </c>
      <c r="Y267" s="101" t="str">
        <f t="shared" si="284"/>
        <v>$0.00</v>
      </c>
      <c r="Z267" s="101" t="str">
        <f t="shared" si="285"/>
        <v>$0.00</v>
      </c>
      <c r="AA267" s="101" t="str">
        <f t="shared" si="286"/>
        <v>$0.00</v>
      </c>
      <c r="AB267" s="688" t="str">
        <f t="shared" si="287"/>
        <v>$0.00</v>
      </c>
      <c r="AC267" s="689"/>
    </row>
    <row r="268" spans="3:29" x14ac:dyDescent="0.2">
      <c r="C268" s="95">
        <v>210</v>
      </c>
      <c r="D268" s="101">
        <f t="shared" si="272"/>
        <v>0</v>
      </c>
      <c r="E268" s="101">
        <f t="shared" si="273"/>
        <v>0</v>
      </c>
      <c r="F268" s="101">
        <f t="shared" si="274"/>
        <v>0</v>
      </c>
      <c r="G268" s="688">
        <f t="shared" si="275"/>
        <v>0</v>
      </c>
      <c r="H268" s="689"/>
      <c r="J268" s="95">
        <v>210</v>
      </c>
      <c r="K268" s="96">
        <f t="shared" si="276"/>
        <v>0</v>
      </c>
      <c r="L268" s="96">
        <f t="shared" si="277"/>
        <v>0</v>
      </c>
      <c r="M268" s="96">
        <f t="shared" si="278"/>
        <v>0</v>
      </c>
      <c r="N268" s="688">
        <f t="shared" si="279"/>
        <v>0</v>
      </c>
      <c r="O268" s="689"/>
      <c r="Q268" s="95">
        <v>210</v>
      </c>
      <c r="R268" s="101">
        <f t="shared" si="280"/>
        <v>0</v>
      </c>
      <c r="S268" s="101">
        <f t="shared" si="281"/>
        <v>0</v>
      </c>
      <c r="T268" s="101">
        <f t="shared" si="282"/>
        <v>0</v>
      </c>
      <c r="U268" s="688">
        <f t="shared" si="283"/>
        <v>0</v>
      </c>
      <c r="V268" s="689"/>
      <c r="X268" s="95">
        <v>210</v>
      </c>
      <c r="Y268" s="101">
        <f t="shared" si="284"/>
        <v>0</v>
      </c>
      <c r="Z268" s="101">
        <f t="shared" si="285"/>
        <v>0</v>
      </c>
      <c r="AA268" s="101">
        <f t="shared" si="286"/>
        <v>0</v>
      </c>
      <c r="AB268" s="688">
        <f t="shared" si="287"/>
        <v>0</v>
      </c>
      <c r="AC268" s="689"/>
    </row>
    <row r="269" spans="3:29" x14ac:dyDescent="0.2">
      <c r="C269" s="95">
        <v>211</v>
      </c>
      <c r="D269" s="101" t="str">
        <f t="shared" si="272"/>
        <v>$0.00</v>
      </c>
      <c r="E269" s="101" t="str">
        <f t="shared" si="273"/>
        <v>$0.00</v>
      </c>
      <c r="F269" s="101" t="str">
        <f t="shared" si="274"/>
        <v>$0.00</v>
      </c>
      <c r="G269" s="688" t="str">
        <f t="shared" si="275"/>
        <v>$0.00</v>
      </c>
      <c r="H269" s="689"/>
      <c r="J269" s="95">
        <v>211</v>
      </c>
      <c r="K269" s="96">
        <f t="shared" si="276"/>
        <v>0</v>
      </c>
      <c r="L269" s="96">
        <f t="shared" si="277"/>
        <v>0</v>
      </c>
      <c r="M269" s="96">
        <f t="shared" si="278"/>
        <v>0</v>
      </c>
      <c r="N269" s="688">
        <f t="shared" si="279"/>
        <v>0</v>
      </c>
      <c r="O269" s="689"/>
      <c r="Q269" s="95">
        <v>211</v>
      </c>
      <c r="R269" s="101" t="str">
        <f t="shared" si="280"/>
        <v>$0.00</v>
      </c>
      <c r="S269" s="101" t="str">
        <f t="shared" si="281"/>
        <v>$0.00</v>
      </c>
      <c r="T269" s="101" t="str">
        <f t="shared" si="282"/>
        <v>$0.00</v>
      </c>
      <c r="U269" s="688" t="str">
        <f t="shared" si="283"/>
        <v>$0.00</v>
      </c>
      <c r="V269" s="689"/>
      <c r="X269" s="95">
        <v>211</v>
      </c>
      <c r="Y269" s="101" t="str">
        <f t="shared" si="284"/>
        <v>$0.00</v>
      </c>
      <c r="Z269" s="101" t="str">
        <f t="shared" si="285"/>
        <v>$0.00</v>
      </c>
      <c r="AA269" s="101" t="str">
        <f t="shared" si="286"/>
        <v>$0.00</v>
      </c>
      <c r="AB269" s="688" t="str">
        <f t="shared" si="287"/>
        <v>$0.00</v>
      </c>
      <c r="AC269" s="689"/>
    </row>
    <row r="270" spans="3:29" x14ac:dyDescent="0.2">
      <c r="C270" s="95">
        <v>212</v>
      </c>
      <c r="D270" s="101">
        <f t="shared" si="272"/>
        <v>0</v>
      </c>
      <c r="E270" s="101">
        <f t="shared" si="273"/>
        <v>0</v>
      </c>
      <c r="F270" s="101">
        <f t="shared" si="274"/>
        <v>0</v>
      </c>
      <c r="G270" s="688">
        <f t="shared" si="275"/>
        <v>0</v>
      </c>
      <c r="H270" s="689"/>
      <c r="J270" s="95">
        <v>212</v>
      </c>
      <c r="K270" s="96">
        <f t="shared" si="276"/>
        <v>0</v>
      </c>
      <c r="L270" s="96">
        <f t="shared" si="277"/>
        <v>0</v>
      </c>
      <c r="M270" s="96">
        <f t="shared" si="278"/>
        <v>0</v>
      </c>
      <c r="N270" s="688">
        <f t="shared" si="279"/>
        <v>0</v>
      </c>
      <c r="O270" s="689"/>
      <c r="Q270" s="95">
        <v>212</v>
      </c>
      <c r="R270" s="101">
        <f t="shared" si="280"/>
        <v>0</v>
      </c>
      <c r="S270" s="101">
        <f t="shared" si="281"/>
        <v>0</v>
      </c>
      <c r="T270" s="101">
        <f t="shared" si="282"/>
        <v>0</v>
      </c>
      <c r="U270" s="688">
        <f t="shared" si="283"/>
        <v>0</v>
      </c>
      <c r="V270" s="689"/>
      <c r="X270" s="95">
        <v>212</v>
      </c>
      <c r="Y270" s="101">
        <f t="shared" si="284"/>
        <v>0</v>
      </c>
      <c r="Z270" s="101">
        <f t="shared" si="285"/>
        <v>0</v>
      </c>
      <c r="AA270" s="101">
        <f t="shared" si="286"/>
        <v>0</v>
      </c>
      <c r="AB270" s="688">
        <f t="shared" si="287"/>
        <v>0</v>
      </c>
      <c r="AC270" s="689"/>
    </row>
    <row r="271" spans="3:29" x14ac:dyDescent="0.2">
      <c r="C271" s="95">
        <v>213</v>
      </c>
      <c r="D271" s="101" t="str">
        <f t="shared" si="272"/>
        <v>$0.00</v>
      </c>
      <c r="E271" s="101" t="str">
        <f t="shared" si="273"/>
        <v>$0.00</v>
      </c>
      <c r="F271" s="101" t="str">
        <f t="shared" si="274"/>
        <v>$0.00</v>
      </c>
      <c r="G271" s="688" t="str">
        <f t="shared" si="275"/>
        <v>$0.00</v>
      </c>
      <c r="H271" s="689"/>
      <c r="J271" s="95">
        <v>213</v>
      </c>
      <c r="K271" s="96">
        <f t="shared" si="276"/>
        <v>0</v>
      </c>
      <c r="L271" s="96">
        <f t="shared" si="277"/>
        <v>0</v>
      </c>
      <c r="M271" s="96">
        <f t="shared" si="278"/>
        <v>0</v>
      </c>
      <c r="N271" s="688">
        <f t="shared" si="279"/>
        <v>0</v>
      </c>
      <c r="O271" s="689"/>
      <c r="Q271" s="95">
        <v>213</v>
      </c>
      <c r="R271" s="101" t="str">
        <f t="shared" si="280"/>
        <v>$0.00</v>
      </c>
      <c r="S271" s="101" t="str">
        <f t="shared" si="281"/>
        <v>$0.00</v>
      </c>
      <c r="T271" s="101" t="str">
        <f t="shared" si="282"/>
        <v>$0.00</v>
      </c>
      <c r="U271" s="688" t="str">
        <f t="shared" si="283"/>
        <v>$0.00</v>
      </c>
      <c r="V271" s="689"/>
      <c r="X271" s="95">
        <v>213</v>
      </c>
      <c r="Y271" s="101" t="str">
        <f t="shared" si="284"/>
        <v>$0.00</v>
      </c>
      <c r="Z271" s="101" t="str">
        <f t="shared" si="285"/>
        <v>$0.00</v>
      </c>
      <c r="AA271" s="101" t="str">
        <f t="shared" si="286"/>
        <v>$0.00</v>
      </c>
      <c r="AB271" s="688" t="str">
        <f t="shared" si="287"/>
        <v>$0.00</v>
      </c>
      <c r="AC271" s="689"/>
    </row>
    <row r="272" spans="3:29" x14ac:dyDescent="0.2">
      <c r="C272" s="95">
        <v>214</v>
      </c>
      <c r="D272" s="101">
        <f t="shared" si="272"/>
        <v>0</v>
      </c>
      <c r="E272" s="101">
        <f t="shared" si="273"/>
        <v>0</v>
      </c>
      <c r="F272" s="101">
        <f t="shared" si="274"/>
        <v>0</v>
      </c>
      <c r="G272" s="688">
        <f t="shared" si="275"/>
        <v>0</v>
      </c>
      <c r="H272" s="689"/>
      <c r="J272" s="95">
        <v>214</v>
      </c>
      <c r="K272" s="96">
        <f t="shared" si="276"/>
        <v>0</v>
      </c>
      <c r="L272" s="96">
        <f t="shared" si="277"/>
        <v>0</v>
      </c>
      <c r="M272" s="96">
        <f t="shared" si="278"/>
        <v>0</v>
      </c>
      <c r="N272" s="688">
        <f t="shared" si="279"/>
        <v>0</v>
      </c>
      <c r="O272" s="689"/>
      <c r="Q272" s="95">
        <v>214</v>
      </c>
      <c r="R272" s="101">
        <f t="shared" si="280"/>
        <v>0</v>
      </c>
      <c r="S272" s="101">
        <f t="shared" si="281"/>
        <v>0</v>
      </c>
      <c r="T272" s="101">
        <f t="shared" si="282"/>
        <v>0</v>
      </c>
      <c r="U272" s="688">
        <f t="shared" si="283"/>
        <v>0</v>
      </c>
      <c r="V272" s="689"/>
      <c r="X272" s="95">
        <v>214</v>
      </c>
      <c r="Y272" s="101">
        <f t="shared" si="284"/>
        <v>0</v>
      </c>
      <c r="Z272" s="101">
        <f t="shared" si="285"/>
        <v>0</v>
      </c>
      <c r="AA272" s="101">
        <f t="shared" si="286"/>
        <v>0</v>
      </c>
      <c r="AB272" s="688">
        <f t="shared" si="287"/>
        <v>0</v>
      </c>
      <c r="AC272" s="689"/>
    </row>
    <row r="273" spans="3:29" x14ac:dyDescent="0.2">
      <c r="C273" s="95">
        <v>215</v>
      </c>
      <c r="D273" s="101" t="str">
        <f t="shared" si="272"/>
        <v>$0.00</v>
      </c>
      <c r="E273" s="101" t="str">
        <f t="shared" si="273"/>
        <v>$0.00</v>
      </c>
      <c r="F273" s="101" t="str">
        <f t="shared" si="274"/>
        <v>$0.00</v>
      </c>
      <c r="G273" s="688" t="str">
        <f t="shared" si="275"/>
        <v>$0.00</v>
      </c>
      <c r="H273" s="689"/>
      <c r="J273" s="95">
        <v>215</v>
      </c>
      <c r="K273" s="96">
        <f t="shared" si="276"/>
        <v>0</v>
      </c>
      <c r="L273" s="96">
        <f t="shared" si="277"/>
        <v>0</v>
      </c>
      <c r="M273" s="96">
        <f t="shared" si="278"/>
        <v>0</v>
      </c>
      <c r="N273" s="688">
        <f t="shared" si="279"/>
        <v>0</v>
      </c>
      <c r="O273" s="689"/>
      <c r="Q273" s="95">
        <v>215</v>
      </c>
      <c r="R273" s="101" t="str">
        <f t="shared" si="280"/>
        <v>$0.00</v>
      </c>
      <c r="S273" s="101" t="str">
        <f t="shared" si="281"/>
        <v>$0.00</v>
      </c>
      <c r="T273" s="101" t="str">
        <f t="shared" si="282"/>
        <v>$0.00</v>
      </c>
      <c r="U273" s="688" t="str">
        <f t="shared" si="283"/>
        <v>$0.00</v>
      </c>
      <c r="V273" s="689"/>
      <c r="X273" s="95">
        <v>215</v>
      </c>
      <c r="Y273" s="101" t="str">
        <f t="shared" si="284"/>
        <v>$0.00</v>
      </c>
      <c r="Z273" s="101" t="str">
        <f t="shared" si="285"/>
        <v>$0.00</v>
      </c>
      <c r="AA273" s="101" t="str">
        <f t="shared" si="286"/>
        <v>$0.00</v>
      </c>
      <c r="AB273" s="688" t="str">
        <f t="shared" si="287"/>
        <v>$0.00</v>
      </c>
      <c r="AC273" s="689"/>
    </row>
    <row r="274" spans="3:29" x14ac:dyDescent="0.2">
      <c r="C274" s="95">
        <v>216</v>
      </c>
      <c r="D274" s="101">
        <f t="shared" si="272"/>
        <v>0</v>
      </c>
      <c r="E274" s="101">
        <f t="shared" si="273"/>
        <v>0</v>
      </c>
      <c r="F274" s="101">
        <f t="shared" si="274"/>
        <v>0</v>
      </c>
      <c r="G274" s="690">
        <f t="shared" si="275"/>
        <v>0</v>
      </c>
      <c r="H274" s="691"/>
      <c r="J274" s="95">
        <v>216</v>
      </c>
      <c r="K274" s="96">
        <f t="shared" si="276"/>
        <v>0</v>
      </c>
      <c r="L274" s="96">
        <f t="shared" si="277"/>
        <v>0</v>
      </c>
      <c r="M274" s="96">
        <f t="shared" si="278"/>
        <v>0</v>
      </c>
      <c r="N274" s="690">
        <f t="shared" si="279"/>
        <v>0</v>
      </c>
      <c r="O274" s="691"/>
      <c r="Q274" s="95">
        <v>216</v>
      </c>
      <c r="R274" s="101">
        <f t="shared" si="280"/>
        <v>0</v>
      </c>
      <c r="S274" s="101">
        <f t="shared" si="281"/>
        <v>0</v>
      </c>
      <c r="T274" s="101">
        <f t="shared" si="282"/>
        <v>0</v>
      </c>
      <c r="U274" s="690">
        <f t="shared" si="283"/>
        <v>0</v>
      </c>
      <c r="V274" s="691"/>
      <c r="X274" s="95">
        <v>216</v>
      </c>
      <c r="Y274" s="101">
        <f t="shared" si="284"/>
        <v>0</v>
      </c>
      <c r="Z274" s="101">
        <f t="shared" si="285"/>
        <v>0</v>
      </c>
      <c r="AA274" s="101">
        <f t="shared" si="286"/>
        <v>0</v>
      </c>
      <c r="AB274" s="690">
        <f t="shared" si="287"/>
        <v>0</v>
      </c>
      <c r="AC274" s="691"/>
    </row>
    <row r="275" spans="3:29" x14ac:dyDescent="0.2">
      <c r="C275" s="97" t="s">
        <v>809</v>
      </c>
      <c r="D275" s="104">
        <f>SUM(D263:D274)</f>
        <v>0</v>
      </c>
      <c r="E275" s="104">
        <f>SUM(E263:E274)</f>
        <v>0</v>
      </c>
      <c r="F275" s="104">
        <f>SUM(F263:F274)</f>
        <v>0</v>
      </c>
      <c r="G275" s="692">
        <f>G274</f>
        <v>0</v>
      </c>
      <c r="H275" s="693"/>
      <c r="J275" s="97" t="s">
        <v>809</v>
      </c>
      <c r="K275" s="86">
        <f>SUM(K263:K274)</f>
        <v>0</v>
      </c>
      <c r="L275" s="86">
        <f>SUM(L263:L274)</f>
        <v>0</v>
      </c>
      <c r="M275" s="86">
        <f>SUM(M263:M274)</f>
        <v>0</v>
      </c>
      <c r="N275" s="692">
        <f>N274</f>
        <v>0</v>
      </c>
      <c r="O275" s="711"/>
      <c r="Q275" s="97" t="s">
        <v>809</v>
      </c>
      <c r="R275" s="104">
        <f>SUM(R263:R274)</f>
        <v>0</v>
      </c>
      <c r="S275" s="104">
        <f>SUM(S263:S274)</f>
        <v>0</v>
      </c>
      <c r="T275" s="104">
        <f>SUM(T263:T274)</f>
        <v>0</v>
      </c>
      <c r="U275" s="692">
        <f>U274</f>
        <v>0</v>
      </c>
      <c r="V275" s="693"/>
      <c r="X275" s="97" t="s">
        <v>809</v>
      </c>
      <c r="Y275" s="104">
        <f>SUM(Y263:Y274)</f>
        <v>0</v>
      </c>
      <c r="Z275" s="104">
        <f>SUM(Z263:Z274)</f>
        <v>0</v>
      </c>
      <c r="AA275" s="104">
        <f>SUM(AA263:AA274)</f>
        <v>0</v>
      </c>
      <c r="AB275" s="692">
        <f>AB274</f>
        <v>0</v>
      </c>
      <c r="AC275" s="693"/>
    </row>
    <row r="276" spans="3:29" x14ac:dyDescent="0.2">
      <c r="C276" s="95">
        <v>217</v>
      </c>
      <c r="D276" s="101" t="str">
        <f t="shared" ref="D276:D287" si="288">IF(G275&gt;0,G275*($E$36)/12,"$0.00")</f>
        <v>$0.00</v>
      </c>
      <c r="E276" s="101" t="str">
        <f t="shared" ref="E276:E287" si="289">IF(G275&gt;0,IF($E$38=4,"$0.00",IF($E$38=3,"$0.00",IF($E$38=2,"$0.00",+$G$39-D276))),"$0.00")</f>
        <v>$0.00</v>
      </c>
      <c r="F276" s="101" t="str">
        <f t="shared" ref="F276:F287" si="290">IF(G275=0,"$0.00",IF($E$38=4,"$0.00",IF($E$38=3,"$0.00",IF($E$38=2,D276,D276+E276))))</f>
        <v>$0.00</v>
      </c>
      <c r="G276" s="688" t="str">
        <f t="shared" ref="G276:G287" si="291">IF(G275=0,"$0.00",IF($E$38=4,G275+D276,IF($E$38=3,G275+D276,IF($E$38=2,G275,G275-E276))))</f>
        <v>$0.00</v>
      </c>
      <c r="H276" s="689"/>
      <c r="J276" s="95">
        <v>217</v>
      </c>
      <c r="K276" s="96">
        <f t="shared" ref="K276:K287" si="292">N275*($L$36)/12</f>
        <v>0</v>
      </c>
      <c r="L276" s="96">
        <f t="shared" ref="L276:L287" si="293">IF(L272=4,"$0.00",+$N$39-K276)</f>
        <v>0</v>
      </c>
      <c r="M276" s="96">
        <f t="shared" ref="M276:M287" si="294">IF(L272=4,"$0.00",K276+L276)</f>
        <v>0</v>
      </c>
      <c r="N276" s="709">
        <f t="shared" ref="N276:N287" si="295">IF(L272=4,N275+K276,N275-L276)</f>
        <v>0</v>
      </c>
      <c r="O276" s="710"/>
      <c r="Q276" s="95">
        <v>217</v>
      </c>
      <c r="R276" s="101" t="str">
        <f t="shared" ref="R276:R287" si="296">IF(U275&gt;0,U275*($S$36)/12,"$0.00")</f>
        <v>$0.00</v>
      </c>
      <c r="S276" s="101" t="str">
        <f t="shared" ref="S276:S287" si="297">IF(U275&gt;0,IF($S$38=4,"$0.00",IF($S$38=3,"$0.00",IF($S$38=2,"$0.00",+$U$39-R276))),"$0.00")</f>
        <v>$0.00</v>
      </c>
      <c r="T276" s="101" t="str">
        <f t="shared" ref="T276:T287" si="298">IF(U275=0,"$0.00",IF($S$38=4,"$0.00",IF($S$38=3,"$0.00",IF($S$38=2,R276,R276+S276))))</f>
        <v>$0.00</v>
      </c>
      <c r="U276" s="688" t="str">
        <f t="shared" ref="U276:U287" si="299">IF(U275=0,"$0.00",IF($S$38=4,U275+R276,IF($S$38=3,U275+R276,IF($S$38=2,U275,U275-S276))))</f>
        <v>$0.00</v>
      </c>
      <c r="V276" s="689"/>
      <c r="X276" s="95">
        <v>217</v>
      </c>
      <c r="Y276" s="101" t="str">
        <f t="shared" ref="Y276:Y287" si="300">IF(AB275&gt;0,AB275*($Z$36)/12,"$0.00")</f>
        <v>$0.00</v>
      </c>
      <c r="Z276" s="101" t="str">
        <f t="shared" ref="Z276:Z287" si="301">IF(AB275&gt;0,IF($Z$38=4,"$0.00",IF($Z$38=3,"$0.00",IF($Z$38=2,"$0.00",+$AB$39-Y276))),"$0.00")</f>
        <v>$0.00</v>
      </c>
      <c r="AA276" s="101" t="str">
        <f t="shared" ref="AA276:AA287" si="302">IF(AB275=0,"$0.00",IF($Z$38=4,"$0.00",IF($Z$38=3,"$0.00",IF($Z$38=2,Y276,Y276+Z276))))</f>
        <v>$0.00</v>
      </c>
      <c r="AB276" s="688" t="str">
        <f t="shared" ref="AB276:AB287" si="303">IF(AB275=0,"$0.00",IF($Z$38=4,AB275+Y276,IF($Z$38=3,AB275+Y276,IF($Z$38=2,AB275,AB275-Z276))))</f>
        <v>$0.00</v>
      </c>
      <c r="AC276" s="689"/>
    </row>
    <row r="277" spans="3:29" x14ac:dyDescent="0.2">
      <c r="C277" s="95">
        <v>218</v>
      </c>
      <c r="D277" s="101">
        <f t="shared" si="288"/>
        <v>0</v>
      </c>
      <c r="E277" s="101">
        <f t="shared" si="289"/>
        <v>0</v>
      </c>
      <c r="F277" s="101">
        <f t="shared" si="290"/>
        <v>0</v>
      </c>
      <c r="G277" s="688">
        <f t="shared" si="291"/>
        <v>0</v>
      </c>
      <c r="H277" s="689"/>
      <c r="J277" s="95">
        <v>218</v>
      </c>
      <c r="K277" s="96">
        <f t="shared" si="292"/>
        <v>0</v>
      </c>
      <c r="L277" s="96">
        <f t="shared" si="293"/>
        <v>0</v>
      </c>
      <c r="M277" s="96">
        <f t="shared" si="294"/>
        <v>0</v>
      </c>
      <c r="N277" s="688">
        <f t="shared" si="295"/>
        <v>0</v>
      </c>
      <c r="O277" s="689"/>
      <c r="Q277" s="95">
        <v>218</v>
      </c>
      <c r="R277" s="101">
        <f t="shared" si="296"/>
        <v>0</v>
      </c>
      <c r="S277" s="101">
        <f t="shared" si="297"/>
        <v>0</v>
      </c>
      <c r="T277" s="101">
        <f t="shared" si="298"/>
        <v>0</v>
      </c>
      <c r="U277" s="688">
        <f t="shared" si="299"/>
        <v>0</v>
      </c>
      <c r="V277" s="689"/>
      <c r="X277" s="95">
        <v>218</v>
      </c>
      <c r="Y277" s="101">
        <f t="shared" si="300"/>
        <v>0</v>
      </c>
      <c r="Z277" s="101">
        <f t="shared" si="301"/>
        <v>0</v>
      </c>
      <c r="AA277" s="101">
        <f t="shared" si="302"/>
        <v>0</v>
      </c>
      <c r="AB277" s="688">
        <f t="shared" si="303"/>
        <v>0</v>
      </c>
      <c r="AC277" s="689"/>
    </row>
    <row r="278" spans="3:29" x14ac:dyDescent="0.2">
      <c r="C278" s="95">
        <v>219</v>
      </c>
      <c r="D278" s="101" t="str">
        <f t="shared" si="288"/>
        <v>$0.00</v>
      </c>
      <c r="E278" s="101" t="str">
        <f t="shared" si="289"/>
        <v>$0.00</v>
      </c>
      <c r="F278" s="101" t="str">
        <f t="shared" si="290"/>
        <v>$0.00</v>
      </c>
      <c r="G278" s="688" t="str">
        <f t="shared" si="291"/>
        <v>$0.00</v>
      </c>
      <c r="H278" s="689"/>
      <c r="J278" s="95">
        <v>219</v>
      </c>
      <c r="K278" s="96">
        <f t="shared" si="292"/>
        <v>0</v>
      </c>
      <c r="L278" s="96">
        <f t="shared" si="293"/>
        <v>0</v>
      </c>
      <c r="M278" s="96">
        <f t="shared" si="294"/>
        <v>0</v>
      </c>
      <c r="N278" s="688">
        <f t="shared" si="295"/>
        <v>0</v>
      </c>
      <c r="O278" s="689"/>
      <c r="Q278" s="95">
        <v>219</v>
      </c>
      <c r="R278" s="101" t="str">
        <f t="shared" si="296"/>
        <v>$0.00</v>
      </c>
      <c r="S278" s="101" t="str">
        <f t="shared" si="297"/>
        <v>$0.00</v>
      </c>
      <c r="T278" s="101" t="str">
        <f t="shared" si="298"/>
        <v>$0.00</v>
      </c>
      <c r="U278" s="688" t="str">
        <f t="shared" si="299"/>
        <v>$0.00</v>
      </c>
      <c r="V278" s="689"/>
      <c r="X278" s="95">
        <v>219</v>
      </c>
      <c r="Y278" s="101" t="str">
        <f t="shared" si="300"/>
        <v>$0.00</v>
      </c>
      <c r="Z278" s="101" t="str">
        <f t="shared" si="301"/>
        <v>$0.00</v>
      </c>
      <c r="AA278" s="101" t="str">
        <f t="shared" si="302"/>
        <v>$0.00</v>
      </c>
      <c r="AB278" s="688" t="str">
        <f t="shared" si="303"/>
        <v>$0.00</v>
      </c>
      <c r="AC278" s="689"/>
    </row>
    <row r="279" spans="3:29" x14ac:dyDescent="0.2">
      <c r="C279" s="95">
        <v>220</v>
      </c>
      <c r="D279" s="101">
        <f t="shared" si="288"/>
        <v>0</v>
      </c>
      <c r="E279" s="101">
        <f t="shared" si="289"/>
        <v>0</v>
      </c>
      <c r="F279" s="101">
        <f t="shared" si="290"/>
        <v>0</v>
      </c>
      <c r="G279" s="688">
        <f t="shared" si="291"/>
        <v>0</v>
      </c>
      <c r="H279" s="689"/>
      <c r="J279" s="95">
        <v>220</v>
      </c>
      <c r="K279" s="96">
        <f t="shared" si="292"/>
        <v>0</v>
      </c>
      <c r="L279" s="96">
        <f t="shared" si="293"/>
        <v>0</v>
      </c>
      <c r="M279" s="96">
        <f t="shared" si="294"/>
        <v>0</v>
      </c>
      <c r="N279" s="688">
        <f t="shared" si="295"/>
        <v>0</v>
      </c>
      <c r="O279" s="689"/>
      <c r="Q279" s="95">
        <v>220</v>
      </c>
      <c r="R279" s="101">
        <f t="shared" si="296"/>
        <v>0</v>
      </c>
      <c r="S279" s="101">
        <f t="shared" si="297"/>
        <v>0</v>
      </c>
      <c r="T279" s="101">
        <f t="shared" si="298"/>
        <v>0</v>
      </c>
      <c r="U279" s="688">
        <f t="shared" si="299"/>
        <v>0</v>
      </c>
      <c r="V279" s="689"/>
      <c r="X279" s="95">
        <v>220</v>
      </c>
      <c r="Y279" s="101">
        <f t="shared" si="300"/>
        <v>0</v>
      </c>
      <c r="Z279" s="101">
        <f t="shared" si="301"/>
        <v>0</v>
      </c>
      <c r="AA279" s="101">
        <f t="shared" si="302"/>
        <v>0</v>
      </c>
      <c r="AB279" s="688">
        <f t="shared" si="303"/>
        <v>0</v>
      </c>
      <c r="AC279" s="689"/>
    </row>
    <row r="280" spans="3:29" x14ac:dyDescent="0.2">
      <c r="C280" s="95">
        <v>221</v>
      </c>
      <c r="D280" s="101" t="str">
        <f t="shared" si="288"/>
        <v>$0.00</v>
      </c>
      <c r="E280" s="101" t="str">
        <f t="shared" si="289"/>
        <v>$0.00</v>
      </c>
      <c r="F280" s="101" t="str">
        <f t="shared" si="290"/>
        <v>$0.00</v>
      </c>
      <c r="G280" s="688" t="str">
        <f t="shared" si="291"/>
        <v>$0.00</v>
      </c>
      <c r="H280" s="689"/>
      <c r="J280" s="95">
        <v>221</v>
      </c>
      <c r="K280" s="96">
        <f t="shared" si="292"/>
        <v>0</v>
      </c>
      <c r="L280" s="96">
        <f t="shared" si="293"/>
        <v>0</v>
      </c>
      <c r="M280" s="96">
        <f t="shared" si="294"/>
        <v>0</v>
      </c>
      <c r="N280" s="688">
        <f t="shared" si="295"/>
        <v>0</v>
      </c>
      <c r="O280" s="689"/>
      <c r="Q280" s="95">
        <v>221</v>
      </c>
      <c r="R280" s="101" t="str">
        <f t="shared" si="296"/>
        <v>$0.00</v>
      </c>
      <c r="S280" s="101" t="str">
        <f t="shared" si="297"/>
        <v>$0.00</v>
      </c>
      <c r="T280" s="101" t="str">
        <f t="shared" si="298"/>
        <v>$0.00</v>
      </c>
      <c r="U280" s="688" t="str">
        <f t="shared" si="299"/>
        <v>$0.00</v>
      </c>
      <c r="V280" s="689"/>
      <c r="X280" s="95">
        <v>221</v>
      </c>
      <c r="Y280" s="101" t="str">
        <f t="shared" si="300"/>
        <v>$0.00</v>
      </c>
      <c r="Z280" s="101" t="str">
        <f t="shared" si="301"/>
        <v>$0.00</v>
      </c>
      <c r="AA280" s="101" t="str">
        <f t="shared" si="302"/>
        <v>$0.00</v>
      </c>
      <c r="AB280" s="688" t="str">
        <f t="shared" si="303"/>
        <v>$0.00</v>
      </c>
      <c r="AC280" s="689"/>
    </row>
    <row r="281" spans="3:29" x14ac:dyDescent="0.2">
      <c r="C281" s="95">
        <v>222</v>
      </c>
      <c r="D281" s="101">
        <f t="shared" si="288"/>
        <v>0</v>
      </c>
      <c r="E281" s="101">
        <f t="shared" si="289"/>
        <v>0</v>
      </c>
      <c r="F281" s="101">
        <f t="shared" si="290"/>
        <v>0</v>
      </c>
      <c r="G281" s="688">
        <f t="shared" si="291"/>
        <v>0</v>
      </c>
      <c r="H281" s="689"/>
      <c r="J281" s="95">
        <v>222</v>
      </c>
      <c r="K281" s="96">
        <f t="shared" si="292"/>
        <v>0</v>
      </c>
      <c r="L281" s="96">
        <f t="shared" si="293"/>
        <v>0</v>
      </c>
      <c r="M281" s="96">
        <f t="shared" si="294"/>
        <v>0</v>
      </c>
      <c r="N281" s="688">
        <f t="shared" si="295"/>
        <v>0</v>
      </c>
      <c r="O281" s="689"/>
      <c r="Q281" s="95">
        <v>222</v>
      </c>
      <c r="R281" s="101">
        <f t="shared" si="296"/>
        <v>0</v>
      </c>
      <c r="S281" s="101">
        <f t="shared" si="297"/>
        <v>0</v>
      </c>
      <c r="T281" s="101">
        <f t="shared" si="298"/>
        <v>0</v>
      </c>
      <c r="U281" s="688">
        <f t="shared" si="299"/>
        <v>0</v>
      </c>
      <c r="V281" s="689"/>
      <c r="X281" s="95">
        <v>222</v>
      </c>
      <c r="Y281" s="101">
        <f t="shared" si="300"/>
        <v>0</v>
      </c>
      <c r="Z281" s="101">
        <f t="shared" si="301"/>
        <v>0</v>
      </c>
      <c r="AA281" s="101">
        <f t="shared" si="302"/>
        <v>0</v>
      </c>
      <c r="AB281" s="688">
        <f t="shared" si="303"/>
        <v>0</v>
      </c>
      <c r="AC281" s="689"/>
    </row>
    <row r="282" spans="3:29" x14ac:dyDescent="0.2">
      <c r="C282" s="95">
        <v>223</v>
      </c>
      <c r="D282" s="101" t="str">
        <f t="shared" si="288"/>
        <v>$0.00</v>
      </c>
      <c r="E282" s="101" t="str">
        <f t="shared" si="289"/>
        <v>$0.00</v>
      </c>
      <c r="F282" s="101" t="str">
        <f t="shared" si="290"/>
        <v>$0.00</v>
      </c>
      <c r="G282" s="688" t="str">
        <f t="shared" si="291"/>
        <v>$0.00</v>
      </c>
      <c r="H282" s="689"/>
      <c r="J282" s="95">
        <v>223</v>
      </c>
      <c r="K282" s="96">
        <f t="shared" si="292"/>
        <v>0</v>
      </c>
      <c r="L282" s="96">
        <f t="shared" si="293"/>
        <v>0</v>
      </c>
      <c r="M282" s="96">
        <f t="shared" si="294"/>
        <v>0</v>
      </c>
      <c r="N282" s="688">
        <f t="shared" si="295"/>
        <v>0</v>
      </c>
      <c r="O282" s="689"/>
      <c r="Q282" s="95">
        <v>223</v>
      </c>
      <c r="R282" s="101" t="str">
        <f t="shared" si="296"/>
        <v>$0.00</v>
      </c>
      <c r="S282" s="101" t="str">
        <f t="shared" si="297"/>
        <v>$0.00</v>
      </c>
      <c r="T282" s="101" t="str">
        <f t="shared" si="298"/>
        <v>$0.00</v>
      </c>
      <c r="U282" s="688" t="str">
        <f t="shared" si="299"/>
        <v>$0.00</v>
      </c>
      <c r="V282" s="689"/>
      <c r="X282" s="95">
        <v>223</v>
      </c>
      <c r="Y282" s="101" t="str">
        <f t="shared" si="300"/>
        <v>$0.00</v>
      </c>
      <c r="Z282" s="101" t="str">
        <f t="shared" si="301"/>
        <v>$0.00</v>
      </c>
      <c r="AA282" s="101" t="str">
        <f t="shared" si="302"/>
        <v>$0.00</v>
      </c>
      <c r="AB282" s="688" t="str">
        <f t="shared" si="303"/>
        <v>$0.00</v>
      </c>
      <c r="AC282" s="689"/>
    </row>
    <row r="283" spans="3:29" x14ac:dyDescent="0.2">
      <c r="C283" s="95">
        <v>224</v>
      </c>
      <c r="D283" s="101">
        <f t="shared" si="288"/>
        <v>0</v>
      </c>
      <c r="E283" s="101">
        <f t="shared" si="289"/>
        <v>0</v>
      </c>
      <c r="F283" s="101">
        <f t="shared" si="290"/>
        <v>0</v>
      </c>
      <c r="G283" s="688">
        <f t="shared" si="291"/>
        <v>0</v>
      </c>
      <c r="H283" s="689"/>
      <c r="J283" s="95">
        <v>224</v>
      </c>
      <c r="K283" s="96">
        <f t="shared" si="292"/>
        <v>0</v>
      </c>
      <c r="L283" s="96">
        <f t="shared" si="293"/>
        <v>0</v>
      </c>
      <c r="M283" s="96">
        <f t="shared" si="294"/>
        <v>0</v>
      </c>
      <c r="N283" s="688">
        <f t="shared" si="295"/>
        <v>0</v>
      </c>
      <c r="O283" s="689"/>
      <c r="Q283" s="95">
        <v>224</v>
      </c>
      <c r="R283" s="101">
        <f t="shared" si="296"/>
        <v>0</v>
      </c>
      <c r="S283" s="101">
        <f t="shared" si="297"/>
        <v>0</v>
      </c>
      <c r="T283" s="101">
        <f t="shared" si="298"/>
        <v>0</v>
      </c>
      <c r="U283" s="688">
        <f t="shared" si="299"/>
        <v>0</v>
      </c>
      <c r="V283" s="689"/>
      <c r="X283" s="95">
        <v>224</v>
      </c>
      <c r="Y283" s="101">
        <f t="shared" si="300"/>
        <v>0</v>
      </c>
      <c r="Z283" s="101">
        <f t="shared" si="301"/>
        <v>0</v>
      </c>
      <c r="AA283" s="101">
        <f t="shared" si="302"/>
        <v>0</v>
      </c>
      <c r="AB283" s="688">
        <f t="shared" si="303"/>
        <v>0</v>
      </c>
      <c r="AC283" s="689"/>
    </row>
    <row r="284" spans="3:29" x14ac:dyDescent="0.2">
      <c r="C284" s="95">
        <v>225</v>
      </c>
      <c r="D284" s="101" t="str">
        <f t="shared" si="288"/>
        <v>$0.00</v>
      </c>
      <c r="E284" s="101" t="str">
        <f t="shared" si="289"/>
        <v>$0.00</v>
      </c>
      <c r="F284" s="101" t="str">
        <f t="shared" si="290"/>
        <v>$0.00</v>
      </c>
      <c r="G284" s="688" t="str">
        <f t="shared" si="291"/>
        <v>$0.00</v>
      </c>
      <c r="H284" s="689"/>
      <c r="J284" s="95">
        <v>225</v>
      </c>
      <c r="K284" s="96">
        <f t="shared" si="292"/>
        <v>0</v>
      </c>
      <c r="L284" s="96">
        <f t="shared" si="293"/>
        <v>0</v>
      </c>
      <c r="M284" s="96">
        <f t="shared" si="294"/>
        <v>0</v>
      </c>
      <c r="N284" s="688">
        <f t="shared" si="295"/>
        <v>0</v>
      </c>
      <c r="O284" s="689"/>
      <c r="Q284" s="95">
        <v>225</v>
      </c>
      <c r="R284" s="101" t="str">
        <f t="shared" si="296"/>
        <v>$0.00</v>
      </c>
      <c r="S284" s="101" t="str">
        <f t="shared" si="297"/>
        <v>$0.00</v>
      </c>
      <c r="T284" s="101" t="str">
        <f t="shared" si="298"/>
        <v>$0.00</v>
      </c>
      <c r="U284" s="688" t="str">
        <f t="shared" si="299"/>
        <v>$0.00</v>
      </c>
      <c r="V284" s="689"/>
      <c r="X284" s="95">
        <v>225</v>
      </c>
      <c r="Y284" s="101" t="str">
        <f t="shared" si="300"/>
        <v>$0.00</v>
      </c>
      <c r="Z284" s="101" t="str">
        <f t="shared" si="301"/>
        <v>$0.00</v>
      </c>
      <c r="AA284" s="101" t="str">
        <f t="shared" si="302"/>
        <v>$0.00</v>
      </c>
      <c r="AB284" s="688" t="str">
        <f t="shared" si="303"/>
        <v>$0.00</v>
      </c>
      <c r="AC284" s="689"/>
    </row>
    <row r="285" spans="3:29" x14ac:dyDescent="0.2">
      <c r="C285" s="95">
        <v>226</v>
      </c>
      <c r="D285" s="101">
        <f t="shared" si="288"/>
        <v>0</v>
      </c>
      <c r="E285" s="101">
        <f t="shared" si="289"/>
        <v>0</v>
      </c>
      <c r="F285" s="101">
        <f t="shared" si="290"/>
        <v>0</v>
      </c>
      <c r="G285" s="688">
        <f t="shared" si="291"/>
        <v>0</v>
      </c>
      <c r="H285" s="689"/>
      <c r="J285" s="95">
        <v>226</v>
      </c>
      <c r="K285" s="96">
        <f t="shared" si="292"/>
        <v>0</v>
      </c>
      <c r="L285" s="96">
        <f t="shared" si="293"/>
        <v>0</v>
      </c>
      <c r="M285" s="96">
        <f t="shared" si="294"/>
        <v>0</v>
      </c>
      <c r="N285" s="688">
        <f t="shared" si="295"/>
        <v>0</v>
      </c>
      <c r="O285" s="689"/>
      <c r="Q285" s="95">
        <v>226</v>
      </c>
      <c r="R285" s="101">
        <f t="shared" si="296"/>
        <v>0</v>
      </c>
      <c r="S285" s="101">
        <f t="shared" si="297"/>
        <v>0</v>
      </c>
      <c r="T285" s="101">
        <f t="shared" si="298"/>
        <v>0</v>
      </c>
      <c r="U285" s="688">
        <f t="shared" si="299"/>
        <v>0</v>
      </c>
      <c r="V285" s="689"/>
      <c r="X285" s="95">
        <v>226</v>
      </c>
      <c r="Y285" s="101">
        <f t="shared" si="300"/>
        <v>0</v>
      </c>
      <c r="Z285" s="101">
        <f t="shared" si="301"/>
        <v>0</v>
      </c>
      <c r="AA285" s="101">
        <f t="shared" si="302"/>
        <v>0</v>
      </c>
      <c r="AB285" s="688">
        <f t="shared" si="303"/>
        <v>0</v>
      </c>
      <c r="AC285" s="689"/>
    </row>
    <row r="286" spans="3:29" x14ac:dyDescent="0.2">
      <c r="C286" s="95">
        <v>227</v>
      </c>
      <c r="D286" s="101" t="str">
        <f t="shared" si="288"/>
        <v>$0.00</v>
      </c>
      <c r="E286" s="101" t="str">
        <f t="shared" si="289"/>
        <v>$0.00</v>
      </c>
      <c r="F286" s="101" t="str">
        <f t="shared" si="290"/>
        <v>$0.00</v>
      </c>
      <c r="G286" s="688" t="str">
        <f t="shared" si="291"/>
        <v>$0.00</v>
      </c>
      <c r="H286" s="689"/>
      <c r="J286" s="95">
        <v>227</v>
      </c>
      <c r="K286" s="96">
        <f t="shared" si="292"/>
        <v>0</v>
      </c>
      <c r="L286" s="96">
        <f t="shared" si="293"/>
        <v>0</v>
      </c>
      <c r="M286" s="96">
        <f t="shared" si="294"/>
        <v>0</v>
      </c>
      <c r="N286" s="688">
        <f t="shared" si="295"/>
        <v>0</v>
      </c>
      <c r="O286" s="689"/>
      <c r="Q286" s="95">
        <v>227</v>
      </c>
      <c r="R286" s="101" t="str">
        <f t="shared" si="296"/>
        <v>$0.00</v>
      </c>
      <c r="S286" s="101" t="str">
        <f t="shared" si="297"/>
        <v>$0.00</v>
      </c>
      <c r="T286" s="101" t="str">
        <f t="shared" si="298"/>
        <v>$0.00</v>
      </c>
      <c r="U286" s="688" t="str">
        <f t="shared" si="299"/>
        <v>$0.00</v>
      </c>
      <c r="V286" s="689"/>
      <c r="X286" s="95">
        <v>227</v>
      </c>
      <c r="Y286" s="101" t="str">
        <f t="shared" si="300"/>
        <v>$0.00</v>
      </c>
      <c r="Z286" s="101" t="str">
        <f t="shared" si="301"/>
        <v>$0.00</v>
      </c>
      <c r="AA286" s="101" t="str">
        <f t="shared" si="302"/>
        <v>$0.00</v>
      </c>
      <c r="AB286" s="688" t="str">
        <f t="shared" si="303"/>
        <v>$0.00</v>
      </c>
      <c r="AC286" s="689"/>
    </row>
    <row r="287" spans="3:29" x14ac:dyDescent="0.2">
      <c r="C287" s="95">
        <v>228</v>
      </c>
      <c r="D287" s="101">
        <f t="shared" si="288"/>
        <v>0</v>
      </c>
      <c r="E287" s="101">
        <f t="shared" si="289"/>
        <v>0</v>
      </c>
      <c r="F287" s="101">
        <f t="shared" si="290"/>
        <v>0</v>
      </c>
      <c r="G287" s="690">
        <f t="shared" si="291"/>
        <v>0</v>
      </c>
      <c r="H287" s="691"/>
      <c r="J287" s="95">
        <v>228</v>
      </c>
      <c r="K287" s="96">
        <f t="shared" si="292"/>
        <v>0</v>
      </c>
      <c r="L287" s="96">
        <f t="shared" si="293"/>
        <v>0</v>
      </c>
      <c r="M287" s="96">
        <f t="shared" si="294"/>
        <v>0</v>
      </c>
      <c r="N287" s="690">
        <f t="shared" si="295"/>
        <v>0</v>
      </c>
      <c r="O287" s="691"/>
      <c r="Q287" s="95">
        <v>228</v>
      </c>
      <c r="R287" s="101">
        <f t="shared" si="296"/>
        <v>0</v>
      </c>
      <c r="S287" s="101">
        <f t="shared" si="297"/>
        <v>0</v>
      </c>
      <c r="T287" s="101">
        <f t="shared" si="298"/>
        <v>0</v>
      </c>
      <c r="U287" s="690">
        <f t="shared" si="299"/>
        <v>0</v>
      </c>
      <c r="V287" s="691"/>
      <c r="X287" s="95">
        <v>228</v>
      </c>
      <c r="Y287" s="101">
        <f t="shared" si="300"/>
        <v>0</v>
      </c>
      <c r="Z287" s="101">
        <f t="shared" si="301"/>
        <v>0</v>
      </c>
      <c r="AA287" s="101">
        <f t="shared" si="302"/>
        <v>0</v>
      </c>
      <c r="AB287" s="690">
        <f t="shared" si="303"/>
        <v>0</v>
      </c>
      <c r="AC287" s="691"/>
    </row>
    <row r="288" spans="3:29" x14ac:dyDescent="0.2">
      <c r="C288" s="97" t="s">
        <v>810</v>
      </c>
      <c r="D288" s="104">
        <f>SUM(D276:D287)</f>
        <v>0</v>
      </c>
      <c r="E288" s="104">
        <f>SUM(E276:E287)</f>
        <v>0</v>
      </c>
      <c r="F288" s="104">
        <f>SUM(F276:F287)</f>
        <v>0</v>
      </c>
      <c r="G288" s="692">
        <f>G287</f>
        <v>0</v>
      </c>
      <c r="H288" s="693"/>
      <c r="J288" s="97" t="s">
        <v>810</v>
      </c>
      <c r="K288" s="86">
        <f>SUM(K276:K287)</f>
        <v>0</v>
      </c>
      <c r="L288" s="86">
        <f>SUM(L276:L287)</f>
        <v>0</v>
      </c>
      <c r="M288" s="86">
        <f>SUM(M276:M287)</f>
        <v>0</v>
      </c>
      <c r="N288" s="692">
        <f>N287</f>
        <v>0</v>
      </c>
      <c r="O288" s="711"/>
      <c r="Q288" s="97" t="s">
        <v>810</v>
      </c>
      <c r="R288" s="104">
        <f>SUM(R276:R287)</f>
        <v>0</v>
      </c>
      <c r="S288" s="104">
        <f>SUM(S276:S287)</f>
        <v>0</v>
      </c>
      <c r="T288" s="104">
        <f>SUM(T276:T287)</f>
        <v>0</v>
      </c>
      <c r="U288" s="692">
        <f>U287</f>
        <v>0</v>
      </c>
      <c r="V288" s="693"/>
      <c r="X288" s="97" t="s">
        <v>810</v>
      </c>
      <c r="Y288" s="104">
        <f>SUM(Y276:Y287)</f>
        <v>0</v>
      </c>
      <c r="Z288" s="104">
        <f>SUM(Z276:Z287)</f>
        <v>0</v>
      </c>
      <c r="AA288" s="104">
        <f>SUM(AA276:AA287)</f>
        <v>0</v>
      </c>
      <c r="AB288" s="692">
        <f>AB287</f>
        <v>0</v>
      </c>
      <c r="AC288" s="693"/>
    </row>
    <row r="289" spans="3:29" x14ac:dyDescent="0.2">
      <c r="C289" s="95">
        <v>229</v>
      </c>
      <c r="D289" s="101" t="str">
        <f t="shared" ref="D289:D300" si="304">IF(G288&gt;0,G288*($E$36)/12,"$0.00")</f>
        <v>$0.00</v>
      </c>
      <c r="E289" s="101" t="str">
        <f t="shared" ref="E289:E300" si="305">IF(G288&gt;0,IF($E$38=4,"$0.00",IF($E$38=3,"$0.00",IF($E$38=2,"$0.00",+$G$39-D289))),"$0.00")</f>
        <v>$0.00</v>
      </c>
      <c r="F289" s="101" t="str">
        <f t="shared" ref="F289:F300" si="306">IF(G288=0,"$0.00",IF($E$38=4,"$0.00",IF($E$38=3,"$0.00",IF($E$38=2,D289,D289+E289))))</f>
        <v>$0.00</v>
      </c>
      <c r="G289" s="688" t="str">
        <f t="shared" ref="G289:G300" si="307">IF(G288=0,"$0.00",IF($E$38=4,G288+D289,IF($E$38=3,G288+D289,IF($E$38=2,G288,G288-E289))))</f>
        <v>$0.00</v>
      </c>
      <c r="H289" s="689"/>
      <c r="J289" s="95">
        <v>229</v>
      </c>
      <c r="K289" s="96">
        <f t="shared" ref="K289:K300" si="308">N288*($L$36)/12</f>
        <v>0</v>
      </c>
      <c r="L289" s="96">
        <f t="shared" ref="L289:L300" si="309">IF(L285=4,"$0.00",+$N$39-K289)</f>
        <v>0</v>
      </c>
      <c r="M289" s="96">
        <f t="shared" ref="M289:M300" si="310">IF(L285=4,"$0.00",K289+L289)</f>
        <v>0</v>
      </c>
      <c r="N289" s="709">
        <f t="shared" ref="N289:N300" si="311">IF(L285=4,N288+K289,N288-L289)</f>
        <v>0</v>
      </c>
      <c r="O289" s="710"/>
      <c r="Q289" s="95">
        <v>229</v>
      </c>
      <c r="R289" s="101" t="str">
        <f t="shared" ref="R289:R300" si="312">IF(U288&gt;0,U288*($S$36)/12,"$0.00")</f>
        <v>$0.00</v>
      </c>
      <c r="S289" s="101" t="str">
        <f t="shared" ref="S289:S300" si="313">IF(U288&gt;0,IF($S$38=4,"$0.00",IF($S$38=3,"$0.00",IF($S$38=2,"$0.00",+$U$39-R289))),"$0.00")</f>
        <v>$0.00</v>
      </c>
      <c r="T289" s="101" t="str">
        <f t="shared" ref="T289:T300" si="314">IF(U288=0,"$0.00",IF($S$38=4,"$0.00",IF($S$38=3,"$0.00",IF($S$38=2,R289,R289+S289))))</f>
        <v>$0.00</v>
      </c>
      <c r="U289" s="688" t="str">
        <f t="shared" ref="U289:U300" si="315">IF(U288=0,"$0.00",IF($S$38=4,U288+R289,IF($S$38=3,U288+R289,IF($S$38=2,U288,U288-S289))))</f>
        <v>$0.00</v>
      </c>
      <c r="V289" s="689"/>
      <c r="X289" s="95">
        <v>229</v>
      </c>
      <c r="Y289" s="101" t="str">
        <f t="shared" ref="Y289:Y300" si="316">IF(AB288&gt;0,AB288*($Z$36)/12,"$0.00")</f>
        <v>$0.00</v>
      </c>
      <c r="Z289" s="101" t="str">
        <f t="shared" ref="Z289:Z300" si="317">IF(AB288&gt;0,IF($Z$38=4,"$0.00",IF($Z$38=3,"$0.00",IF($Z$38=2,"$0.00",+$AB$39-Y289))),"$0.00")</f>
        <v>$0.00</v>
      </c>
      <c r="AA289" s="101" t="str">
        <f t="shared" ref="AA289:AA300" si="318">IF(AB288=0,"$0.00",IF($Z$38=4,"$0.00",IF($Z$38=3,"$0.00",IF($Z$38=2,Y289,Y289+Z289))))</f>
        <v>$0.00</v>
      </c>
      <c r="AB289" s="688" t="str">
        <f t="shared" ref="AB289:AB300" si="319">IF(AB288=0,"$0.00",IF($Z$38=4,AB288+Y289,IF($Z$38=3,AB288+Y289,IF($Z$38=2,AB288,AB288-Z289))))</f>
        <v>$0.00</v>
      </c>
      <c r="AC289" s="689"/>
    </row>
    <row r="290" spans="3:29" x14ac:dyDescent="0.2">
      <c r="C290" s="95">
        <v>230</v>
      </c>
      <c r="D290" s="101">
        <f t="shared" si="304"/>
        <v>0</v>
      </c>
      <c r="E290" s="101">
        <f t="shared" si="305"/>
        <v>0</v>
      </c>
      <c r="F290" s="101">
        <f t="shared" si="306"/>
        <v>0</v>
      </c>
      <c r="G290" s="688">
        <f t="shared" si="307"/>
        <v>0</v>
      </c>
      <c r="H290" s="689"/>
      <c r="J290" s="95">
        <v>230</v>
      </c>
      <c r="K290" s="96">
        <f t="shared" si="308"/>
        <v>0</v>
      </c>
      <c r="L290" s="96">
        <f t="shared" si="309"/>
        <v>0</v>
      </c>
      <c r="M290" s="96">
        <f t="shared" si="310"/>
        <v>0</v>
      </c>
      <c r="N290" s="688">
        <f t="shared" si="311"/>
        <v>0</v>
      </c>
      <c r="O290" s="689"/>
      <c r="Q290" s="95">
        <v>230</v>
      </c>
      <c r="R290" s="101">
        <f t="shared" si="312"/>
        <v>0</v>
      </c>
      <c r="S290" s="101">
        <f t="shared" si="313"/>
        <v>0</v>
      </c>
      <c r="T290" s="101">
        <f t="shared" si="314"/>
        <v>0</v>
      </c>
      <c r="U290" s="688">
        <f t="shared" si="315"/>
        <v>0</v>
      </c>
      <c r="V290" s="689"/>
      <c r="X290" s="95">
        <v>230</v>
      </c>
      <c r="Y290" s="101">
        <f t="shared" si="316"/>
        <v>0</v>
      </c>
      <c r="Z290" s="101">
        <f t="shared" si="317"/>
        <v>0</v>
      </c>
      <c r="AA290" s="101">
        <f t="shared" si="318"/>
        <v>0</v>
      </c>
      <c r="AB290" s="688">
        <f t="shared" si="319"/>
        <v>0</v>
      </c>
      <c r="AC290" s="689"/>
    </row>
    <row r="291" spans="3:29" x14ac:dyDescent="0.2">
      <c r="C291" s="95">
        <v>231</v>
      </c>
      <c r="D291" s="101" t="str">
        <f t="shared" si="304"/>
        <v>$0.00</v>
      </c>
      <c r="E291" s="101" t="str">
        <f t="shared" si="305"/>
        <v>$0.00</v>
      </c>
      <c r="F291" s="101" t="str">
        <f t="shared" si="306"/>
        <v>$0.00</v>
      </c>
      <c r="G291" s="688" t="str">
        <f t="shared" si="307"/>
        <v>$0.00</v>
      </c>
      <c r="H291" s="689"/>
      <c r="J291" s="95">
        <v>231</v>
      </c>
      <c r="K291" s="96">
        <f t="shared" si="308"/>
        <v>0</v>
      </c>
      <c r="L291" s="96">
        <f t="shared" si="309"/>
        <v>0</v>
      </c>
      <c r="M291" s="96">
        <f t="shared" si="310"/>
        <v>0</v>
      </c>
      <c r="N291" s="688">
        <f t="shared" si="311"/>
        <v>0</v>
      </c>
      <c r="O291" s="689"/>
      <c r="Q291" s="95">
        <v>231</v>
      </c>
      <c r="R291" s="101" t="str">
        <f t="shared" si="312"/>
        <v>$0.00</v>
      </c>
      <c r="S291" s="101" t="str">
        <f t="shared" si="313"/>
        <v>$0.00</v>
      </c>
      <c r="T291" s="101" t="str">
        <f t="shared" si="314"/>
        <v>$0.00</v>
      </c>
      <c r="U291" s="688" t="str">
        <f t="shared" si="315"/>
        <v>$0.00</v>
      </c>
      <c r="V291" s="689"/>
      <c r="X291" s="95">
        <v>231</v>
      </c>
      <c r="Y291" s="101" t="str">
        <f t="shared" si="316"/>
        <v>$0.00</v>
      </c>
      <c r="Z291" s="101" t="str">
        <f t="shared" si="317"/>
        <v>$0.00</v>
      </c>
      <c r="AA291" s="101" t="str">
        <f t="shared" si="318"/>
        <v>$0.00</v>
      </c>
      <c r="AB291" s="688" t="str">
        <f t="shared" si="319"/>
        <v>$0.00</v>
      </c>
      <c r="AC291" s="689"/>
    </row>
    <row r="292" spans="3:29" x14ac:dyDescent="0.2">
      <c r="C292" s="95">
        <v>232</v>
      </c>
      <c r="D292" s="101">
        <f t="shared" si="304"/>
        <v>0</v>
      </c>
      <c r="E292" s="101">
        <f t="shared" si="305"/>
        <v>0</v>
      </c>
      <c r="F292" s="101">
        <f t="shared" si="306"/>
        <v>0</v>
      </c>
      <c r="G292" s="688">
        <f t="shared" si="307"/>
        <v>0</v>
      </c>
      <c r="H292" s="689"/>
      <c r="J292" s="95">
        <v>232</v>
      </c>
      <c r="K292" s="96">
        <f t="shared" si="308"/>
        <v>0</v>
      </c>
      <c r="L292" s="96">
        <f t="shared" si="309"/>
        <v>0</v>
      </c>
      <c r="M292" s="96">
        <f t="shared" si="310"/>
        <v>0</v>
      </c>
      <c r="N292" s="688">
        <f t="shared" si="311"/>
        <v>0</v>
      </c>
      <c r="O292" s="689"/>
      <c r="Q292" s="95">
        <v>232</v>
      </c>
      <c r="R292" s="101">
        <f t="shared" si="312"/>
        <v>0</v>
      </c>
      <c r="S292" s="101">
        <f t="shared" si="313"/>
        <v>0</v>
      </c>
      <c r="T292" s="101">
        <f t="shared" si="314"/>
        <v>0</v>
      </c>
      <c r="U292" s="688">
        <f t="shared" si="315"/>
        <v>0</v>
      </c>
      <c r="V292" s="689"/>
      <c r="X292" s="95">
        <v>232</v>
      </c>
      <c r="Y292" s="101">
        <f t="shared" si="316"/>
        <v>0</v>
      </c>
      <c r="Z292" s="101">
        <f t="shared" si="317"/>
        <v>0</v>
      </c>
      <c r="AA292" s="101">
        <f t="shared" si="318"/>
        <v>0</v>
      </c>
      <c r="AB292" s="688">
        <f t="shared" si="319"/>
        <v>0</v>
      </c>
      <c r="AC292" s="689"/>
    </row>
    <row r="293" spans="3:29" x14ac:dyDescent="0.2">
      <c r="C293" s="95">
        <v>233</v>
      </c>
      <c r="D293" s="101" t="str">
        <f t="shared" si="304"/>
        <v>$0.00</v>
      </c>
      <c r="E293" s="101" t="str">
        <f t="shared" si="305"/>
        <v>$0.00</v>
      </c>
      <c r="F293" s="101" t="str">
        <f t="shared" si="306"/>
        <v>$0.00</v>
      </c>
      <c r="G293" s="688" t="str">
        <f t="shared" si="307"/>
        <v>$0.00</v>
      </c>
      <c r="H293" s="689"/>
      <c r="J293" s="95">
        <v>233</v>
      </c>
      <c r="K293" s="96">
        <f t="shared" si="308"/>
        <v>0</v>
      </c>
      <c r="L293" s="96">
        <f t="shared" si="309"/>
        <v>0</v>
      </c>
      <c r="M293" s="96">
        <f t="shared" si="310"/>
        <v>0</v>
      </c>
      <c r="N293" s="688">
        <f t="shared" si="311"/>
        <v>0</v>
      </c>
      <c r="O293" s="689"/>
      <c r="Q293" s="95">
        <v>233</v>
      </c>
      <c r="R293" s="101" t="str">
        <f t="shared" si="312"/>
        <v>$0.00</v>
      </c>
      <c r="S293" s="101" t="str">
        <f t="shared" si="313"/>
        <v>$0.00</v>
      </c>
      <c r="T293" s="101" t="str">
        <f t="shared" si="314"/>
        <v>$0.00</v>
      </c>
      <c r="U293" s="688" t="str">
        <f t="shared" si="315"/>
        <v>$0.00</v>
      </c>
      <c r="V293" s="689"/>
      <c r="X293" s="95">
        <v>233</v>
      </c>
      <c r="Y293" s="101" t="str">
        <f t="shared" si="316"/>
        <v>$0.00</v>
      </c>
      <c r="Z293" s="101" t="str">
        <f t="shared" si="317"/>
        <v>$0.00</v>
      </c>
      <c r="AA293" s="101" t="str">
        <f t="shared" si="318"/>
        <v>$0.00</v>
      </c>
      <c r="AB293" s="688" t="str">
        <f t="shared" si="319"/>
        <v>$0.00</v>
      </c>
      <c r="AC293" s="689"/>
    </row>
    <row r="294" spans="3:29" x14ac:dyDescent="0.2">
      <c r="C294" s="95">
        <v>234</v>
      </c>
      <c r="D294" s="101">
        <f t="shared" si="304"/>
        <v>0</v>
      </c>
      <c r="E294" s="101">
        <f t="shared" si="305"/>
        <v>0</v>
      </c>
      <c r="F294" s="101">
        <f t="shared" si="306"/>
        <v>0</v>
      </c>
      <c r="G294" s="688">
        <f t="shared" si="307"/>
        <v>0</v>
      </c>
      <c r="H294" s="689"/>
      <c r="J294" s="95">
        <v>234</v>
      </c>
      <c r="K294" s="96">
        <f t="shared" si="308"/>
        <v>0</v>
      </c>
      <c r="L294" s="96">
        <f t="shared" si="309"/>
        <v>0</v>
      </c>
      <c r="M294" s="96">
        <f t="shared" si="310"/>
        <v>0</v>
      </c>
      <c r="N294" s="688">
        <f t="shared" si="311"/>
        <v>0</v>
      </c>
      <c r="O294" s="689"/>
      <c r="Q294" s="95">
        <v>234</v>
      </c>
      <c r="R294" s="101">
        <f t="shared" si="312"/>
        <v>0</v>
      </c>
      <c r="S294" s="101">
        <f t="shared" si="313"/>
        <v>0</v>
      </c>
      <c r="T294" s="101">
        <f t="shared" si="314"/>
        <v>0</v>
      </c>
      <c r="U294" s="688">
        <f t="shared" si="315"/>
        <v>0</v>
      </c>
      <c r="V294" s="689"/>
      <c r="X294" s="95">
        <v>234</v>
      </c>
      <c r="Y294" s="101">
        <f t="shared" si="316"/>
        <v>0</v>
      </c>
      <c r="Z294" s="101">
        <f t="shared" si="317"/>
        <v>0</v>
      </c>
      <c r="AA294" s="101">
        <f t="shared" si="318"/>
        <v>0</v>
      </c>
      <c r="AB294" s="688">
        <f t="shared" si="319"/>
        <v>0</v>
      </c>
      <c r="AC294" s="689"/>
    </row>
    <row r="295" spans="3:29" x14ac:dyDescent="0.2">
      <c r="C295" s="95">
        <v>235</v>
      </c>
      <c r="D295" s="101" t="str">
        <f t="shared" si="304"/>
        <v>$0.00</v>
      </c>
      <c r="E295" s="101" t="str">
        <f t="shared" si="305"/>
        <v>$0.00</v>
      </c>
      <c r="F295" s="101" t="str">
        <f t="shared" si="306"/>
        <v>$0.00</v>
      </c>
      <c r="G295" s="688" t="str">
        <f t="shared" si="307"/>
        <v>$0.00</v>
      </c>
      <c r="H295" s="689"/>
      <c r="J295" s="95">
        <v>235</v>
      </c>
      <c r="K295" s="96">
        <f t="shared" si="308"/>
        <v>0</v>
      </c>
      <c r="L295" s="96">
        <f t="shared" si="309"/>
        <v>0</v>
      </c>
      <c r="M295" s="96">
        <f t="shared" si="310"/>
        <v>0</v>
      </c>
      <c r="N295" s="688">
        <f t="shared" si="311"/>
        <v>0</v>
      </c>
      <c r="O295" s="689"/>
      <c r="Q295" s="95">
        <v>235</v>
      </c>
      <c r="R295" s="101" t="str">
        <f t="shared" si="312"/>
        <v>$0.00</v>
      </c>
      <c r="S295" s="101" t="str">
        <f t="shared" si="313"/>
        <v>$0.00</v>
      </c>
      <c r="T295" s="101" t="str">
        <f t="shared" si="314"/>
        <v>$0.00</v>
      </c>
      <c r="U295" s="688" t="str">
        <f t="shared" si="315"/>
        <v>$0.00</v>
      </c>
      <c r="V295" s="689"/>
      <c r="X295" s="95">
        <v>235</v>
      </c>
      <c r="Y295" s="101" t="str">
        <f t="shared" si="316"/>
        <v>$0.00</v>
      </c>
      <c r="Z295" s="101" t="str">
        <f t="shared" si="317"/>
        <v>$0.00</v>
      </c>
      <c r="AA295" s="101" t="str">
        <f t="shared" si="318"/>
        <v>$0.00</v>
      </c>
      <c r="AB295" s="688" t="str">
        <f t="shared" si="319"/>
        <v>$0.00</v>
      </c>
      <c r="AC295" s="689"/>
    </row>
    <row r="296" spans="3:29" x14ac:dyDescent="0.2">
      <c r="C296" s="95">
        <v>236</v>
      </c>
      <c r="D296" s="101">
        <f t="shared" si="304"/>
        <v>0</v>
      </c>
      <c r="E296" s="101">
        <f t="shared" si="305"/>
        <v>0</v>
      </c>
      <c r="F296" s="101">
        <f t="shared" si="306"/>
        <v>0</v>
      </c>
      <c r="G296" s="688">
        <f t="shared" si="307"/>
        <v>0</v>
      </c>
      <c r="H296" s="689"/>
      <c r="J296" s="95">
        <v>236</v>
      </c>
      <c r="K296" s="96">
        <f t="shared" si="308"/>
        <v>0</v>
      </c>
      <c r="L296" s="96">
        <f t="shared" si="309"/>
        <v>0</v>
      </c>
      <c r="M296" s="96">
        <f t="shared" si="310"/>
        <v>0</v>
      </c>
      <c r="N296" s="688">
        <f t="shared" si="311"/>
        <v>0</v>
      </c>
      <c r="O296" s="689"/>
      <c r="Q296" s="95">
        <v>236</v>
      </c>
      <c r="R296" s="101">
        <f t="shared" si="312"/>
        <v>0</v>
      </c>
      <c r="S296" s="101">
        <f t="shared" si="313"/>
        <v>0</v>
      </c>
      <c r="T296" s="101">
        <f t="shared" si="314"/>
        <v>0</v>
      </c>
      <c r="U296" s="688">
        <f t="shared" si="315"/>
        <v>0</v>
      </c>
      <c r="V296" s="689"/>
      <c r="X296" s="95">
        <v>236</v>
      </c>
      <c r="Y296" s="101">
        <f t="shared" si="316"/>
        <v>0</v>
      </c>
      <c r="Z296" s="101">
        <f t="shared" si="317"/>
        <v>0</v>
      </c>
      <c r="AA296" s="101">
        <f t="shared" si="318"/>
        <v>0</v>
      </c>
      <c r="AB296" s="688">
        <f t="shared" si="319"/>
        <v>0</v>
      </c>
      <c r="AC296" s="689"/>
    </row>
    <row r="297" spans="3:29" x14ac:dyDescent="0.2">
      <c r="C297" s="95">
        <v>237</v>
      </c>
      <c r="D297" s="101" t="str">
        <f t="shared" si="304"/>
        <v>$0.00</v>
      </c>
      <c r="E297" s="101" t="str">
        <f t="shared" si="305"/>
        <v>$0.00</v>
      </c>
      <c r="F297" s="101" t="str">
        <f t="shared" si="306"/>
        <v>$0.00</v>
      </c>
      <c r="G297" s="688" t="str">
        <f t="shared" si="307"/>
        <v>$0.00</v>
      </c>
      <c r="H297" s="689"/>
      <c r="J297" s="95">
        <v>237</v>
      </c>
      <c r="K297" s="96">
        <f t="shared" si="308"/>
        <v>0</v>
      </c>
      <c r="L297" s="96">
        <f t="shared" si="309"/>
        <v>0</v>
      </c>
      <c r="M297" s="96">
        <f t="shared" si="310"/>
        <v>0</v>
      </c>
      <c r="N297" s="688">
        <f t="shared" si="311"/>
        <v>0</v>
      </c>
      <c r="O297" s="689"/>
      <c r="Q297" s="95">
        <v>237</v>
      </c>
      <c r="R297" s="101" t="str">
        <f t="shared" si="312"/>
        <v>$0.00</v>
      </c>
      <c r="S297" s="101" t="str">
        <f t="shared" si="313"/>
        <v>$0.00</v>
      </c>
      <c r="T297" s="101" t="str">
        <f t="shared" si="314"/>
        <v>$0.00</v>
      </c>
      <c r="U297" s="688" t="str">
        <f t="shared" si="315"/>
        <v>$0.00</v>
      </c>
      <c r="V297" s="689"/>
      <c r="X297" s="95">
        <v>237</v>
      </c>
      <c r="Y297" s="101" t="str">
        <f t="shared" si="316"/>
        <v>$0.00</v>
      </c>
      <c r="Z297" s="101" t="str">
        <f t="shared" si="317"/>
        <v>$0.00</v>
      </c>
      <c r="AA297" s="101" t="str">
        <f t="shared" si="318"/>
        <v>$0.00</v>
      </c>
      <c r="AB297" s="688" t="str">
        <f t="shared" si="319"/>
        <v>$0.00</v>
      </c>
      <c r="AC297" s="689"/>
    </row>
    <row r="298" spans="3:29" x14ac:dyDescent="0.2">
      <c r="C298" s="95">
        <v>238</v>
      </c>
      <c r="D298" s="101">
        <f t="shared" si="304"/>
        <v>0</v>
      </c>
      <c r="E298" s="101">
        <f t="shared" si="305"/>
        <v>0</v>
      </c>
      <c r="F298" s="101">
        <f t="shared" si="306"/>
        <v>0</v>
      </c>
      <c r="G298" s="688">
        <f t="shared" si="307"/>
        <v>0</v>
      </c>
      <c r="H298" s="689"/>
      <c r="J298" s="95">
        <v>238</v>
      </c>
      <c r="K298" s="96">
        <f t="shared" si="308"/>
        <v>0</v>
      </c>
      <c r="L298" s="96">
        <f t="shared" si="309"/>
        <v>0</v>
      </c>
      <c r="M298" s="96">
        <f t="shared" si="310"/>
        <v>0</v>
      </c>
      <c r="N298" s="688">
        <f t="shared" si="311"/>
        <v>0</v>
      </c>
      <c r="O298" s="689"/>
      <c r="Q298" s="95">
        <v>238</v>
      </c>
      <c r="R298" s="101">
        <f t="shared" si="312"/>
        <v>0</v>
      </c>
      <c r="S298" s="101">
        <f t="shared" si="313"/>
        <v>0</v>
      </c>
      <c r="T298" s="101">
        <f t="shared" si="314"/>
        <v>0</v>
      </c>
      <c r="U298" s="688">
        <f t="shared" si="315"/>
        <v>0</v>
      </c>
      <c r="V298" s="689"/>
      <c r="X298" s="95">
        <v>238</v>
      </c>
      <c r="Y298" s="101">
        <f t="shared" si="316"/>
        <v>0</v>
      </c>
      <c r="Z298" s="101">
        <f t="shared" si="317"/>
        <v>0</v>
      </c>
      <c r="AA298" s="101">
        <f t="shared" si="318"/>
        <v>0</v>
      </c>
      <c r="AB298" s="688">
        <f t="shared" si="319"/>
        <v>0</v>
      </c>
      <c r="AC298" s="689"/>
    </row>
    <row r="299" spans="3:29" x14ac:dyDescent="0.2">
      <c r="C299" s="95">
        <v>239</v>
      </c>
      <c r="D299" s="101" t="str">
        <f t="shared" si="304"/>
        <v>$0.00</v>
      </c>
      <c r="E299" s="101" t="str">
        <f t="shared" si="305"/>
        <v>$0.00</v>
      </c>
      <c r="F299" s="101" t="str">
        <f t="shared" si="306"/>
        <v>$0.00</v>
      </c>
      <c r="G299" s="688" t="str">
        <f t="shared" si="307"/>
        <v>$0.00</v>
      </c>
      <c r="H299" s="689"/>
      <c r="J299" s="95">
        <v>239</v>
      </c>
      <c r="K299" s="96">
        <f t="shared" si="308"/>
        <v>0</v>
      </c>
      <c r="L299" s="96">
        <f t="shared" si="309"/>
        <v>0</v>
      </c>
      <c r="M299" s="96">
        <f t="shared" si="310"/>
        <v>0</v>
      </c>
      <c r="N299" s="688">
        <f t="shared" si="311"/>
        <v>0</v>
      </c>
      <c r="O299" s="689"/>
      <c r="Q299" s="95">
        <v>239</v>
      </c>
      <c r="R299" s="101" t="str">
        <f t="shared" si="312"/>
        <v>$0.00</v>
      </c>
      <c r="S299" s="101" t="str">
        <f t="shared" si="313"/>
        <v>$0.00</v>
      </c>
      <c r="T299" s="101" t="str">
        <f t="shared" si="314"/>
        <v>$0.00</v>
      </c>
      <c r="U299" s="688" t="str">
        <f t="shared" si="315"/>
        <v>$0.00</v>
      </c>
      <c r="V299" s="689"/>
      <c r="X299" s="95">
        <v>239</v>
      </c>
      <c r="Y299" s="101" t="str">
        <f t="shared" si="316"/>
        <v>$0.00</v>
      </c>
      <c r="Z299" s="101" t="str">
        <f t="shared" si="317"/>
        <v>$0.00</v>
      </c>
      <c r="AA299" s="101" t="str">
        <f t="shared" si="318"/>
        <v>$0.00</v>
      </c>
      <c r="AB299" s="688" t="str">
        <f t="shared" si="319"/>
        <v>$0.00</v>
      </c>
      <c r="AC299" s="689"/>
    </row>
    <row r="300" spans="3:29" x14ac:dyDescent="0.2">
      <c r="C300" s="95">
        <v>240</v>
      </c>
      <c r="D300" s="101">
        <f t="shared" si="304"/>
        <v>0</v>
      </c>
      <c r="E300" s="101">
        <f t="shared" si="305"/>
        <v>0</v>
      </c>
      <c r="F300" s="101">
        <f t="shared" si="306"/>
        <v>0</v>
      </c>
      <c r="G300" s="690">
        <f t="shared" si="307"/>
        <v>0</v>
      </c>
      <c r="H300" s="691"/>
      <c r="J300" s="95">
        <v>240</v>
      </c>
      <c r="K300" s="96">
        <f t="shared" si="308"/>
        <v>0</v>
      </c>
      <c r="L300" s="96">
        <f t="shared" si="309"/>
        <v>0</v>
      </c>
      <c r="M300" s="96">
        <f t="shared" si="310"/>
        <v>0</v>
      </c>
      <c r="N300" s="690">
        <f t="shared" si="311"/>
        <v>0</v>
      </c>
      <c r="O300" s="691"/>
      <c r="Q300" s="95">
        <v>240</v>
      </c>
      <c r="R300" s="101">
        <f t="shared" si="312"/>
        <v>0</v>
      </c>
      <c r="S300" s="101">
        <f t="shared" si="313"/>
        <v>0</v>
      </c>
      <c r="T300" s="101">
        <f t="shared" si="314"/>
        <v>0</v>
      </c>
      <c r="U300" s="690">
        <f t="shared" si="315"/>
        <v>0</v>
      </c>
      <c r="V300" s="691"/>
      <c r="X300" s="95">
        <v>240</v>
      </c>
      <c r="Y300" s="101">
        <f t="shared" si="316"/>
        <v>0</v>
      </c>
      <c r="Z300" s="101">
        <f t="shared" si="317"/>
        <v>0</v>
      </c>
      <c r="AA300" s="101">
        <f t="shared" si="318"/>
        <v>0</v>
      </c>
      <c r="AB300" s="690">
        <f t="shared" si="319"/>
        <v>0</v>
      </c>
      <c r="AC300" s="691"/>
    </row>
    <row r="301" spans="3:29" x14ac:dyDescent="0.2">
      <c r="C301" s="97" t="s">
        <v>811</v>
      </c>
      <c r="D301" s="104">
        <f>SUM(D289:D300)</f>
        <v>0</v>
      </c>
      <c r="E301" s="104">
        <f>SUM(E289:E300)</f>
        <v>0</v>
      </c>
      <c r="F301" s="104">
        <f>SUM(F289:F300)</f>
        <v>0</v>
      </c>
      <c r="G301" s="692">
        <f>G300</f>
        <v>0</v>
      </c>
      <c r="H301" s="693"/>
      <c r="J301" s="97" t="s">
        <v>811</v>
      </c>
      <c r="K301" s="86">
        <f>SUM(K289:K300)</f>
        <v>0</v>
      </c>
      <c r="L301" s="86">
        <f>SUM(L289:L300)</f>
        <v>0</v>
      </c>
      <c r="M301" s="86">
        <f>SUM(M289:M300)</f>
        <v>0</v>
      </c>
      <c r="N301" s="692">
        <f>N300</f>
        <v>0</v>
      </c>
      <c r="O301" s="711"/>
      <c r="Q301" s="97" t="s">
        <v>811</v>
      </c>
      <c r="R301" s="104">
        <f>SUM(R289:R300)</f>
        <v>0</v>
      </c>
      <c r="S301" s="104">
        <f>SUM(S289:S300)</f>
        <v>0</v>
      </c>
      <c r="T301" s="104">
        <f>SUM(T289:T300)</f>
        <v>0</v>
      </c>
      <c r="U301" s="692">
        <f>U300</f>
        <v>0</v>
      </c>
      <c r="V301" s="693"/>
      <c r="X301" s="97" t="s">
        <v>811</v>
      </c>
      <c r="Y301" s="104">
        <f>SUM(Y289:Y300)</f>
        <v>0</v>
      </c>
      <c r="Z301" s="104">
        <f>SUM(Z289:Z300)</f>
        <v>0</v>
      </c>
      <c r="AA301" s="104">
        <f>SUM(AA289:AA300)</f>
        <v>0</v>
      </c>
      <c r="AB301" s="692">
        <f>AB300</f>
        <v>0</v>
      </c>
      <c r="AC301" s="693"/>
    </row>
    <row r="302" spans="3:29" x14ac:dyDescent="0.2">
      <c r="C302" s="95">
        <v>241</v>
      </c>
      <c r="D302" s="101" t="str">
        <f t="shared" ref="D302:D313" si="320">IF(G301&gt;0,G301*($E$36)/12,"$0.00")</f>
        <v>$0.00</v>
      </c>
      <c r="E302" s="101" t="str">
        <f t="shared" ref="E302:E313" si="321">IF(G301&gt;0,IF($E$38=4,"$0.00",IF($E$38=3,"$0.00",IF($E$38=2,"$0.00",+$G$39-D302))),"$0.00")</f>
        <v>$0.00</v>
      </c>
      <c r="F302" s="101" t="str">
        <f t="shared" ref="F302:F313" si="322">IF(G301=0,"$0.00",IF($E$38=4,"$0.00",IF($E$38=3,"$0.00",IF($E$38=2,D302,D302+E302))))</f>
        <v>$0.00</v>
      </c>
      <c r="G302" s="688" t="str">
        <f t="shared" ref="G302:G313" si="323">IF(G301=0,"$0.00",IF($E$38=4,G301+D302,IF($E$38=3,G301+D302,IF($E$38=2,G301,G301-E302))))</f>
        <v>$0.00</v>
      </c>
      <c r="H302" s="689"/>
      <c r="J302" s="95">
        <v>241</v>
      </c>
      <c r="K302" s="96">
        <f t="shared" ref="K302:K313" si="324">N301*($L$36)/12</f>
        <v>0</v>
      </c>
      <c r="L302" s="96">
        <f t="shared" ref="L302:L313" si="325">IF(L298=4,"$0.00",+$N$39-K302)</f>
        <v>0</v>
      </c>
      <c r="M302" s="96">
        <f t="shared" ref="M302:M313" si="326">IF(L298=4,"$0.00",K302+L302)</f>
        <v>0</v>
      </c>
      <c r="N302" s="709">
        <f t="shared" ref="N302:N313" si="327">IF(L298=4,N301+K302,N301-L302)</f>
        <v>0</v>
      </c>
      <c r="O302" s="710"/>
      <c r="Q302" s="95">
        <v>241</v>
      </c>
      <c r="R302" s="101" t="str">
        <f t="shared" ref="R302:R313" si="328">IF(U301&gt;0,U301*($S$36)/12,"$0.00")</f>
        <v>$0.00</v>
      </c>
      <c r="S302" s="101" t="str">
        <f t="shared" ref="S302:S313" si="329">IF(U301&gt;0,IF($S$38=4,"$0.00",IF($S$38=3,"$0.00",IF($S$38=2,"$0.00",+$U$39-R302))),"$0.00")</f>
        <v>$0.00</v>
      </c>
      <c r="T302" s="101" t="str">
        <f t="shared" ref="T302:T313" si="330">IF(U301=0,"$0.00",IF($S$38=4,"$0.00",IF($S$38=3,"$0.00",IF($S$38=2,R302,R302+S302))))</f>
        <v>$0.00</v>
      </c>
      <c r="U302" s="688" t="str">
        <f t="shared" ref="U302:U313" si="331">IF(U301=0,"$0.00",IF($S$38=4,U301+R302,IF($S$38=3,U301+R302,IF($S$38=2,U301,U301-S302))))</f>
        <v>$0.00</v>
      </c>
      <c r="V302" s="689"/>
      <c r="X302" s="95">
        <v>241</v>
      </c>
      <c r="Y302" s="101" t="str">
        <f t="shared" ref="Y302:Y313" si="332">IF(AB301&gt;0,AB301*($Z$36)/12,"$0.00")</f>
        <v>$0.00</v>
      </c>
      <c r="Z302" s="101" t="str">
        <f t="shared" ref="Z302:Z313" si="333">IF(AB301&gt;0,IF($Z$38=4,"$0.00",IF($Z$38=3,"$0.00",IF($Z$38=2,"$0.00",+$AB$39-Y302))),"$0.00")</f>
        <v>$0.00</v>
      </c>
      <c r="AA302" s="101" t="str">
        <f t="shared" ref="AA302:AA313" si="334">IF(AB301=0,"$0.00",IF($Z$38=4,"$0.00",IF($Z$38=3,"$0.00",IF($Z$38=2,Y302,Y302+Z302))))</f>
        <v>$0.00</v>
      </c>
      <c r="AB302" s="688" t="str">
        <f t="shared" ref="AB302:AB313" si="335">IF(AB301=0,"$0.00",IF($Z$38=4,AB301+Y302,IF($Z$38=3,AB301+Y302,IF($Z$38=2,AB301,AB301-Z302))))</f>
        <v>$0.00</v>
      </c>
      <c r="AC302" s="689"/>
    </row>
    <row r="303" spans="3:29" x14ac:dyDescent="0.2">
      <c r="C303" s="95">
        <v>242</v>
      </c>
      <c r="D303" s="101">
        <f t="shared" si="320"/>
        <v>0</v>
      </c>
      <c r="E303" s="101">
        <f t="shared" si="321"/>
        <v>0</v>
      </c>
      <c r="F303" s="101">
        <f t="shared" si="322"/>
        <v>0</v>
      </c>
      <c r="G303" s="688">
        <f t="shared" si="323"/>
        <v>0</v>
      </c>
      <c r="H303" s="689"/>
      <c r="J303" s="95">
        <v>242</v>
      </c>
      <c r="K303" s="96">
        <f t="shared" si="324"/>
        <v>0</v>
      </c>
      <c r="L303" s="96">
        <f t="shared" si="325"/>
        <v>0</v>
      </c>
      <c r="M303" s="96">
        <f t="shared" si="326"/>
        <v>0</v>
      </c>
      <c r="N303" s="688">
        <f t="shared" si="327"/>
        <v>0</v>
      </c>
      <c r="O303" s="689"/>
      <c r="Q303" s="95">
        <v>242</v>
      </c>
      <c r="R303" s="101">
        <f t="shared" si="328"/>
        <v>0</v>
      </c>
      <c r="S303" s="101">
        <f t="shared" si="329"/>
        <v>0</v>
      </c>
      <c r="T303" s="101">
        <f t="shared" si="330"/>
        <v>0</v>
      </c>
      <c r="U303" s="688">
        <f t="shared" si="331"/>
        <v>0</v>
      </c>
      <c r="V303" s="689"/>
      <c r="X303" s="95">
        <v>242</v>
      </c>
      <c r="Y303" s="101">
        <f t="shared" si="332"/>
        <v>0</v>
      </c>
      <c r="Z303" s="101">
        <f t="shared" si="333"/>
        <v>0</v>
      </c>
      <c r="AA303" s="101">
        <f t="shared" si="334"/>
        <v>0</v>
      </c>
      <c r="AB303" s="688">
        <f t="shared" si="335"/>
        <v>0</v>
      </c>
      <c r="AC303" s="689"/>
    </row>
    <row r="304" spans="3:29" x14ac:dyDescent="0.2">
      <c r="C304" s="95">
        <v>243</v>
      </c>
      <c r="D304" s="101" t="str">
        <f t="shared" si="320"/>
        <v>$0.00</v>
      </c>
      <c r="E304" s="101" t="str">
        <f t="shared" si="321"/>
        <v>$0.00</v>
      </c>
      <c r="F304" s="101" t="str">
        <f t="shared" si="322"/>
        <v>$0.00</v>
      </c>
      <c r="G304" s="688" t="str">
        <f t="shared" si="323"/>
        <v>$0.00</v>
      </c>
      <c r="H304" s="689"/>
      <c r="J304" s="95">
        <v>243</v>
      </c>
      <c r="K304" s="96">
        <f t="shared" si="324"/>
        <v>0</v>
      </c>
      <c r="L304" s="96">
        <f t="shared" si="325"/>
        <v>0</v>
      </c>
      <c r="M304" s="96">
        <f t="shared" si="326"/>
        <v>0</v>
      </c>
      <c r="N304" s="688">
        <f t="shared" si="327"/>
        <v>0</v>
      </c>
      <c r="O304" s="689"/>
      <c r="Q304" s="95">
        <v>243</v>
      </c>
      <c r="R304" s="101" t="str">
        <f t="shared" si="328"/>
        <v>$0.00</v>
      </c>
      <c r="S304" s="101" t="str">
        <f t="shared" si="329"/>
        <v>$0.00</v>
      </c>
      <c r="T304" s="101" t="str">
        <f t="shared" si="330"/>
        <v>$0.00</v>
      </c>
      <c r="U304" s="688" t="str">
        <f t="shared" si="331"/>
        <v>$0.00</v>
      </c>
      <c r="V304" s="689"/>
      <c r="X304" s="95">
        <v>243</v>
      </c>
      <c r="Y304" s="101" t="str">
        <f t="shared" si="332"/>
        <v>$0.00</v>
      </c>
      <c r="Z304" s="101" t="str">
        <f t="shared" si="333"/>
        <v>$0.00</v>
      </c>
      <c r="AA304" s="101" t="str">
        <f t="shared" si="334"/>
        <v>$0.00</v>
      </c>
      <c r="AB304" s="688" t="str">
        <f t="shared" si="335"/>
        <v>$0.00</v>
      </c>
      <c r="AC304" s="689"/>
    </row>
    <row r="305" spans="3:29" x14ac:dyDescent="0.2">
      <c r="C305" s="95">
        <v>244</v>
      </c>
      <c r="D305" s="101">
        <f t="shared" si="320"/>
        <v>0</v>
      </c>
      <c r="E305" s="101">
        <f t="shared" si="321"/>
        <v>0</v>
      </c>
      <c r="F305" s="101">
        <f t="shared" si="322"/>
        <v>0</v>
      </c>
      <c r="G305" s="688">
        <f t="shared" si="323"/>
        <v>0</v>
      </c>
      <c r="H305" s="689"/>
      <c r="J305" s="95">
        <v>244</v>
      </c>
      <c r="K305" s="96">
        <f t="shared" si="324"/>
        <v>0</v>
      </c>
      <c r="L305" s="96">
        <f t="shared" si="325"/>
        <v>0</v>
      </c>
      <c r="M305" s="96">
        <f t="shared" si="326"/>
        <v>0</v>
      </c>
      <c r="N305" s="688">
        <f t="shared" si="327"/>
        <v>0</v>
      </c>
      <c r="O305" s="689"/>
      <c r="Q305" s="95">
        <v>244</v>
      </c>
      <c r="R305" s="101">
        <f t="shared" si="328"/>
        <v>0</v>
      </c>
      <c r="S305" s="101">
        <f t="shared" si="329"/>
        <v>0</v>
      </c>
      <c r="T305" s="101">
        <f t="shared" si="330"/>
        <v>0</v>
      </c>
      <c r="U305" s="688">
        <f t="shared" si="331"/>
        <v>0</v>
      </c>
      <c r="V305" s="689"/>
      <c r="X305" s="95">
        <v>244</v>
      </c>
      <c r="Y305" s="101">
        <f t="shared" si="332"/>
        <v>0</v>
      </c>
      <c r="Z305" s="101">
        <f t="shared" si="333"/>
        <v>0</v>
      </c>
      <c r="AA305" s="101">
        <f t="shared" si="334"/>
        <v>0</v>
      </c>
      <c r="AB305" s="688">
        <f t="shared" si="335"/>
        <v>0</v>
      </c>
      <c r="AC305" s="689"/>
    </row>
    <row r="306" spans="3:29" x14ac:dyDescent="0.2">
      <c r="C306" s="95">
        <v>245</v>
      </c>
      <c r="D306" s="101" t="str">
        <f t="shared" si="320"/>
        <v>$0.00</v>
      </c>
      <c r="E306" s="101" t="str">
        <f t="shared" si="321"/>
        <v>$0.00</v>
      </c>
      <c r="F306" s="101" t="str">
        <f t="shared" si="322"/>
        <v>$0.00</v>
      </c>
      <c r="G306" s="688" t="str">
        <f t="shared" si="323"/>
        <v>$0.00</v>
      </c>
      <c r="H306" s="689"/>
      <c r="J306" s="95">
        <v>245</v>
      </c>
      <c r="K306" s="96">
        <f t="shared" si="324"/>
        <v>0</v>
      </c>
      <c r="L306" s="96">
        <f t="shared" si="325"/>
        <v>0</v>
      </c>
      <c r="M306" s="96">
        <f t="shared" si="326"/>
        <v>0</v>
      </c>
      <c r="N306" s="688">
        <f t="shared" si="327"/>
        <v>0</v>
      </c>
      <c r="O306" s="689"/>
      <c r="Q306" s="95">
        <v>245</v>
      </c>
      <c r="R306" s="101" t="str">
        <f t="shared" si="328"/>
        <v>$0.00</v>
      </c>
      <c r="S306" s="101" t="str">
        <f t="shared" si="329"/>
        <v>$0.00</v>
      </c>
      <c r="T306" s="101" t="str">
        <f t="shared" si="330"/>
        <v>$0.00</v>
      </c>
      <c r="U306" s="688" t="str">
        <f t="shared" si="331"/>
        <v>$0.00</v>
      </c>
      <c r="V306" s="689"/>
      <c r="X306" s="95">
        <v>245</v>
      </c>
      <c r="Y306" s="101" t="str">
        <f t="shared" si="332"/>
        <v>$0.00</v>
      </c>
      <c r="Z306" s="101" t="str">
        <f t="shared" si="333"/>
        <v>$0.00</v>
      </c>
      <c r="AA306" s="101" t="str">
        <f t="shared" si="334"/>
        <v>$0.00</v>
      </c>
      <c r="AB306" s="688" t="str">
        <f t="shared" si="335"/>
        <v>$0.00</v>
      </c>
      <c r="AC306" s="689"/>
    </row>
    <row r="307" spans="3:29" x14ac:dyDescent="0.2">
      <c r="C307" s="95">
        <v>246</v>
      </c>
      <c r="D307" s="101">
        <f t="shared" si="320"/>
        <v>0</v>
      </c>
      <c r="E307" s="101">
        <f t="shared" si="321"/>
        <v>0</v>
      </c>
      <c r="F307" s="101">
        <f t="shared" si="322"/>
        <v>0</v>
      </c>
      <c r="G307" s="688">
        <f t="shared" si="323"/>
        <v>0</v>
      </c>
      <c r="H307" s="689"/>
      <c r="J307" s="95">
        <v>246</v>
      </c>
      <c r="K307" s="96">
        <f t="shared" si="324"/>
        <v>0</v>
      </c>
      <c r="L307" s="96">
        <f t="shared" si="325"/>
        <v>0</v>
      </c>
      <c r="M307" s="96">
        <f t="shared" si="326"/>
        <v>0</v>
      </c>
      <c r="N307" s="688">
        <f t="shared" si="327"/>
        <v>0</v>
      </c>
      <c r="O307" s="689"/>
      <c r="Q307" s="95">
        <v>246</v>
      </c>
      <c r="R307" s="101">
        <f t="shared" si="328"/>
        <v>0</v>
      </c>
      <c r="S307" s="101">
        <f t="shared" si="329"/>
        <v>0</v>
      </c>
      <c r="T307" s="101">
        <f t="shared" si="330"/>
        <v>0</v>
      </c>
      <c r="U307" s="688">
        <f t="shared" si="331"/>
        <v>0</v>
      </c>
      <c r="V307" s="689"/>
      <c r="X307" s="95">
        <v>246</v>
      </c>
      <c r="Y307" s="101">
        <f t="shared" si="332"/>
        <v>0</v>
      </c>
      <c r="Z307" s="101">
        <f t="shared" si="333"/>
        <v>0</v>
      </c>
      <c r="AA307" s="101">
        <f t="shared" si="334"/>
        <v>0</v>
      </c>
      <c r="AB307" s="688">
        <f t="shared" si="335"/>
        <v>0</v>
      </c>
      <c r="AC307" s="689"/>
    </row>
    <row r="308" spans="3:29" x14ac:dyDescent="0.2">
      <c r="C308" s="95">
        <v>247</v>
      </c>
      <c r="D308" s="101" t="str">
        <f t="shared" si="320"/>
        <v>$0.00</v>
      </c>
      <c r="E308" s="101" t="str">
        <f t="shared" si="321"/>
        <v>$0.00</v>
      </c>
      <c r="F308" s="101" t="str">
        <f t="shared" si="322"/>
        <v>$0.00</v>
      </c>
      <c r="G308" s="688" t="str">
        <f t="shared" si="323"/>
        <v>$0.00</v>
      </c>
      <c r="H308" s="689"/>
      <c r="J308" s="95">
        <v>247</v>
      </c>
      <c r="K308" s="96">
        <f t="shared" si="324"/>
        <v>0</v>
      </c>
      <c r="L308" s="96">
        <f t="shared" si="325"/>
        <v>0</v>
      </c>
      <c r="M308" s="96">
        <f t="shared" si="326"/>
        <v>0</v>
      </c>
      <c r="N308" s="688">
        <f t="shared" si="327"/>
        <v>0</v>
      </c>
      <c r="O308" s="689"/>
      <c r="Q308" s="95">
        <v>247</v>
      </c>
      <c r="R308" s="101" t="str">
        <f t="shared" si="328"/>
        <v>$0.00</v>
      </c>
      <c r="S308" s="101" t="str">
        <f t="shared" si="329"/>
        <v>$0.00</v>
      </c>
      <c r="T308" s="101" t="str">
        <f t="shared" si="330"/>
        <v>$0.00</v>
      </c>
      <c r="U308" s="688" t="str">
        <f t="shared" si="331"/>
        <v>$0.00</v>
      </c>
      <c r="V308" s="689"/>
      <c r="X308" s="95">
        <v>247</v>
      </c>
      <c r="Y308" s="101" t="str">
        <f t="shared" si="332"/>
        <v>$0.00</v>
      </c>
      <c r="Z308" s="101" t="str">
        <f t="shared" si="333"/>
        <v>$0.00</v>
      </c>
      <c r="AA308" s="101" t="str">
        <f t="shared" si="334"/>
        <v>$0.00</v>
      </c>
      <c r="AB308" s="688" t="str">
        <f t="shared" si="335"/>
        <v>$0.00</v>
      </c>
      <c r="AC308" s="689"/>
    </row>
    <row r="309" spans="3:29" x14ac:dyDescent="0.2">
      <c r="C309" s="95">
        <v>248</v>
      </c>
      <c r="D309" s="101">
        <f t="shared" si="320"/>
        <v>0</v>
      </c>
      <c r="E309" s="101">
        <f t="shared" si="321"/>
        <v>0</v>
      </c>
      <c r="F309" s="101">
        <f t="shared" si="322"/>
        <v>0</v>
      </c>
      <c r="G309" s="688">
        <f t="shared" si="323"/>
        <v>0</v>
      </c>
      <c r="H309" s="689"/>
      <c r="J309" s="95">
        <v>248</v>
      </c>
      <c r="K309" s="96">
        <f t="shared" si="324"/>
        <v>0</v>
      </c>
      <c r="L309" s="96">
        <f t="shared" si="325"/>
        <v>0</v>
      </c>
      <c r="M309" s="96">
        <f t="shared" si="326"/>
        <v>0</v>
      </c>
      <c r="N309" s="688">
        <f t="shared" si="327"/>
        <v>0</v>
      </c>
      <c r="O309" s="689"/>
      <c r="Q309" s="95">
        <v>248</v>
      </c>
      <c r="R309" s="101">
        <f t="shared" si="328"/>
        <v>0</v>
      </c>
      <c r="S309" s="101">
        <f t="shared" si="329"/>
        <v>0</v>
      </c>
      <c r="T309" s="101">
        <f t="shared" si="330"/>
        <v>0</v>
      </c>
      <c r="U309" s="688">
        <f t="shared" si="331"/>
        <v>0</v>
      </c>
      <c r="V309" s="689"/>
      <c r="X309" s="95">
        <v>248</v>
      </c>
      <c r="Y309" s="101">
        <f t="shared" si="332"/>
        <v>0</v>
      </c>
      <c r="Z309" s="101">
        <f t="shared" si="333"/>
        <v>0</v>
      </c>
      <c r="AA309" s="101">
        <f t="shared" si="334"/>
        <v>0</v>
      </c>
      <c r="AB309" s="688">
        <f t="shared" si="335"/>
        <v>0</v>
      </c>
      <c r="AC309" s="689"/>
    </row>
    <row r="310" spans="3:29" x14ac:dyDescent="0.2">
      <c r="C310" s="95">
        <v>249</v>
      </c>
      <c r="D310" s="101" t="str">
        <f t="shared" si="320"/>
        <v>$0.00</v>
      </c>
      <c r="E310" s="101" t="str">
        <f t="shared" si="321"/>
        <v>$0.00</v>
      </c>
      <c r="F310" s="101" t="str">
        <f t="shared" si="322"/>
        <v>$0.00</v>
      </c>
      <c r="G310" s="688" t="str">
        <f t="shared" si="323"/>
        <v>$0.00</v>
      </c>
      <c r="H310" s="689"/>
      <c r="J310" s="95">
        <v>249</v>
      </c>
      <c r="K310" s="96">
        <f t="shared" si="324"/>
        <v>0</v>
      </c>
      <c r="L310" s="96">
        <f t="shared" si="325"/>
        <v>0</v>
      </c>
      <c r="M310" s="96">
        <f t="shared" si="326"/>
        <v>0</v>
      </c>
      <c r="N310" s="688">
        <f t="shared" si="327"/>
        <v>0</v>
      </c>
      <c r="O310" s="689"/>
      <c r="Q310" s="95">
        <v>249</v>
      </c>
      <c r="R310" s="101" t="str">
        <f t="shared" si="328"/>
        <v>$0.00</v>
      </c>
      <c r="S310" s="101" t="str">
        <f t="shared" si="329"/>
        <v>$0.00</v>
      </c>
      <c r="T310" s="101" t="str">
        <f t="shared" si="330"/>
        <v>$0.00</v>
      </c>
      <c r="U310" s="688" t="str">
        <f t="shared" si="331"/>
        <v>$0.00</v>
      </c>
      <c r="V310" s="689"/>
      <c r="X310" s="95">
        <v>249</v>
      </c>
      <c r="Y310" s="101" t="str">
        <f t="shared" si="332"/>
        <v>$0.00</v>
      </c>
      <c r="Z310" s="101" t="str">
        <f t="shared" si="333"/>
        <v>$0.00</v>
      </c>
      <c r="AA310" s="101" t="str">
        <f t="shared" si="334"/>
        <v>$0.00</v>
      </c>
      <c r="AB310" s="688" t="str">
        <f t="shared" si="335"/>
        <v>$0.00</v>
      </c>
      <c r="AC310" s="689"/>
    </row>
    <row r="311" spans="3:29" x14ac:dyDescent="0.2">
      <c r="C311" s="95">
        <v>250</v>
      </c>
      <c r="D311" s="101">
        <f t="shared" si="320"/>
        <v>0</v>
      </c>
      <c r="E311" s="101">
        <f t="shared" si="321"/>
        <v>0</v>
      </c>
      <c r="F311" s="101">
        <f t="shared" si="322"/>
        <v>0</v>
      </c>
      <c r="G311" s="688">
        <f t="shared" si="323"/>
        <v>0</v>
      </c>
      <c r="H311" s="689"/>
      <c r="J311" s="95">
        <v>250</v>
      </c>
      <c r="K311" s="96">
        <f t="shared" si="324"/>
        <v>0</v>
      </c>
      <c r="L311" s="96">
        <f t="shared" si="325"/>
        <v>0</v>
      </c>
      <c r="M311" s="96">
        <f t="shared" si="326"/>
        <v>0</v>
      </c>
      <c r="N311" s="688">
        <f t="shared" si="327"/>
        <v>0</v>
      </c>
      <c r="O311" s="689"/>
      <c r="Q311" s="95">
        <v>250</v>
      </c>
      <c r="R311" s="101">
        <f t="shared" si="328"/>
        <v>0</v>
      </c>
      <c r="S311" s="101">
        <f t="shared" si="329"/>
        <v>0</v>
      </c>
      <c r="T311" s="101">
        <f t="shared" si="330"/>
        <v>0</v>
      </c>
      <c r="U311" s="688">
        <f t="shared" si="331"/>
        <v>0</v>
      </c>
      <c r="V311" s="689"/>
      <c r="X311" s="95">
        <v>250</v>
      </c>
      <c r="Y311" s="101">
        <f t="shared" si="332"/>
        <v>0</v>
      </c>
      <c r="Z311" s="101">
        <f t="shared" si="333"/>
        <v>0</v>
      </c>
      <c r="AA311" s="101">
        <f t="shared" si="334"/>
        <v>0</v>
      </c>
      <c r="AB311" s="688">
        <f t="shared" si="335"/>
        <v>0</v>
      </c>
      <c r="AC311" s="689"/>
    </row>
    <row r="312" spans="3:29" x14ac:dyDescent="0.2">
      <c r="C312" s="95">
        <v>251</v>
      </c>
      <c r="D312" s="101" t="str">
        <f t="shared" si="320"/>
        <v>$0.00</v>
      </c>
      <c r="E312" s="101" t="str">
        <f t="shared" si="321"/>
        <v>$0.00</v>
      </c>
      <c r="F312" s="101" t="str">
        <f t="shared" si="322"/>
        <v>$0.00</v>
      </c>
      <c r="G312" s="688" t="str">
        <f t="shared" si="323"/>
        <v>$0.00</v>
      </c>
      <c r="H312" s="689"/>
      <c r="J312" s="95">
        <v>251</v>
      </c>
      <c r="K312" s="96">
        <f t="shared" si="324"/>
        <v>0</v>
      </c>
      <c r="L312" s="96">
        <f t="shared" si="325"/>
        <v>0</v>
      </c>
      <c r="M312" s="96">
        <f t="shared" si="326"/>
        <v>0</v>
      </c>
      <c r="N312" s="688">
        <f t="shared" si="327"/>
        <v>0</v>
      </c>
      <c r="O312" s="689"/>
      <c r="Q312" s="95">
        <v>251</v>
      </c>
      <c r="R312" s="101" t="str">
        <f t="shared" si="328"/>
        <v>$0.00</v>
      </c>
      <c r="S312" s="101" t="str">
        <f t="shared" si="329"/>
        <v>$0.00</v>
      </c>
      <c r="T312" s="101" t="str">
        <f t="shared" si="330"/>
        <v>$0.00</v>
      </c>
      <c r="U312" s="688" t="str">
        <f t="shared" si="331"/>
        <v>$0.00</v>
      </c>
      <c r="V312" s="689"/>
      <c r="X312" s="95">
        <v>251</v>
      </c>
      <c r="Y312" s="101" t="str">
        <f t="shared" si="332"/>
        <v>$0.00</v>
      </c>
      <c r="Z312" s="101" t="str">
        <f t="shared" si="333"/>
        <v>$0.00</v>
      </c>
      <c r="AA312" s="101" t="str">
        <f t="shared" si="334"/>
        <v>$0.00</v>
      </c>
      <c r="AB312" s="688" t="str">
        <f t="shared" si="335"/>
        <v>$0.00</v>
      </c>
      <c r="AC312" s="689"/>
    </row>
    <row r="313" spans="3:29" x14ac:dyDescent="0.2">
      <c r="C313" s="95">
        <v>252</v>
      </c>
      <c r="D313" s="101">
        <f t="shared" si="320"/>
        <v>0</v>
      </c>
      <c r="E313" s="101">
        <f t="shared" si="321"/>
        <v>0</v>
      </c>
      <c r="F313" s="101">
        <f t="shared" si="322"/>
        <v>0</v>
      </c>
      <c r="G313" s="690">
        <f t="shared" si="323"/>
        <v>0</v>
      </c>
      <c r="H313" s="691"/>
      <c r="J313" s="95">
        <v>252</v>
      </c>
      <c r="K313" s="96">
        <f t="shared" si="324"/>
        <v>0</v>
      </c>
      <c r="L313" s="96">
        <f t="shared" si="325"/>
        <v>0</v>
      </c>
      <c r="M313" s="96">
        <f t="shared" si="326"/>
        <v>0</v>
      </c>
      <c r="N313" s="690">
        <f t="shared" si="327"/>
        <v>0</v>
      </c>
      <c r="O313" s="691"/>
      <c r="Q313" s="95">
        <v>252</v>
      </c>
      <c r="R313" s="101">
        <f t="shared" si="328"/>
        <v>0</v>
      </c>
      <c r="S313" s="101">
        <f t="shared" si="329"/>
        <v>0</v>
      </c>
      <c r="T313" s="101">
        <f t="shared" si="330"/>
        <v>0</v>
      </c>
      <c r="U313" s="690">
        <f t="shared" si="331"/>
        <v>0</v>
      </c>
      <c r="V313" s="691"/>
      <c r="X313" s="95">
        <v>252</v>
      </c>
      <c r="Y313" s="101">
        <f t="shared" si="332"/>
        <v>0</v>
      </c>
      <c r="Z313" s="101">
        <f t="shared" si="333"/>
        <v>0</v>
      </c>
      <c r="AA313" s="101">
        <f t="shared" si="334"/>
        <v>0</v>
      </c>
      <c r="AB313" s="690">
        <f t="shared" si="335"/>
        <v>0</v>
      </c>
      <c r="AC313" s="691"/>
    </row>
    <row r="314" spans="3:29" x14ac:dyDescent="0.2">
      <c r="C314" s="97" t="s">
        <v>812</v>
      </c>
      <c r="D314" s="104">
        <f>SUM(D302:D313)</f>
        <v>0</v>
      </c>
      <c r="E314" s="104">
        <f>SUM(E302:E313)</f>
        <v>0</v>
      </c>
      <c r="F314" s="104">
        <f>SUM(F302:F313)</f>
        <v>0</v>
      </c>
      <c r="G314" s="692">
        <f>G313</f>
        <v>0</v>
      </c>
      <c r="H314" s="693"/>
      <c r="J314" s="97" t="s">
        <v>812</v>
      </c>
      <c r="K314" s="86">
        <f>SUM(K302:K313)</f>
        <v>0</v>
      </c>
      <c r="L314" s="86">
        <f>SUM(L302:L313)</f>
        <v>0</v>
      </c>
      <c r="M314" s="86">
        <f>SUM(M302:M313)</f>
        <v>0</v>
      </c>
      <c r="N314" s="692">
        <f>N313</f>
        <v>0</v>
      </c>
      <c r="O314" s="711"/>
      <c r="Q314" s="97" t="s">
        <v>812</v>
      </c>
      <c r="R314" s="104">
        <f>SUM(R302:R313)</f>
        <v>0</v>
      </c>
      <c r="S314" s="104">
        <f>SUM(S302:S313)</f>
        <v>0</v>
      </c>
      <c r="T314" s="104">
        <f>SUM(T302:T313)</f>
        <v>0</v>
      </c>
      <c r="U314" s="692">
        <f>U313</f>
        <v>0</v>
      </c>
      <c r="V314" s="693"/>
      <c r="X314" s="97" t="s">
        <v>812</v>
      </c>
      <c r="Y314" s="104">
        <f>SUM(Y302:Y313)</f>
        <v>0</v>
      </c>
      <c r="Z314" s="104">
        <f>SUM(Z302:Z313)</f>
        <v>0</v>
      </c>
      <c r="AA314" s="104">
        <f>SUM(AA302:AA313)</f>
        <v>0</v>
      </c>
      <c r="AB314" s="692">
        <f>AB313</f>
        <v>0</v>
      </c>
      <c r="AC314" s="693"/>
    </row>
    <row r="315" spans="3:29" x14ac:dyDescent="0.2">
      <c r="C315" s="95">
        <v>253</v>
      </c>
      <c r="D315" s="101" t="str">
        <f t="shared" ref="D315:D326" si="336">IF(G314&gt;0,G314*($E$36)/12,"$0.00")</f>
        <v>$0.00</v>
      </c>
      <c r="E315" s="101" t="str">
        <f t="shared" ref="E315:E326" si="337">IF(G314&gt;0,IF($E$38=4,"$0.00",IF($E$38=3,"$0.00",IF($E$38=2,"$0.00",+$G$39-D315))),"$0.00")</f>
        <v>$0.00</v>
      </c>
      <c r="F315" s="101" t="str">
        <f t="shared" ref="F315:F326" si="338">IF(G314=0,"$0.00",IF($E$38=4,"$0.00",IF($E$38=3,"$0.00",IF($E$38=2,D315,D315+E315))))</f>
        <v>$0.00</v>
      </c>
      <c r="G315" s="688" t="str">
        <f t="shared" ref="G315:G326" si="339">IF(G314=0,"$0.00",IF($E$38=4,G314+D315,IF($E$38=3,G314+D315,IF($E$38=2,G314,G314-E315))))</f>
        <v>$0.00</v>
      </c>
      <c r="H315" s="689"/>
      <c r="J315" s="95">
        <v>253</v>
      </c>
      <c r="K315" s="96">
        <f t="shared" ref="K315:K326" si="340">N314*($L$36)/12</f>
        <v>0</v>
      </c>
      <c r="L315" s="96">
        <f t="shared" ref="L315:L326" si="341">IF(L311=4,"$0.00",+$N$39-K315)</f>
        <v>0</v>
      </c>
      <c r="M315" s="96">
        <f t="shared" ref="M315:M326" si="342">IF(L311=4,"$0.00",K315+L315)</f>
        <v>0</v>
      </c>
      <c r="N315" s="709">
        <f t="shared" ref="N315:N326" si="343">IF(L311=4,N314+K315,N314-L315)</f>
        <v>0</v>
      </c>
      <c r="O315" s="710"/>
      <c r="Q315" s="95">
        <v>253</v>
      </c>
      <c r="R315" s="101" t="str">
        <f t="shared" ref="R315:R326" si="344">IF(U314&gt;0,U314*($S$36)/12,"$0.00")</f>
        <v>$0.00</v>
      </c>
      <c r="S315" s="101" t="str">
        <f t="shared" ref="S315:S326" si="345">IF(U314&gt;0,IF($S$38=4,"$0.00",IF($S$38=3,"$0.00",IF($S$38=2,"$0.00",+$U$39-R315))),"$0.00")</f>
        <v>$0.00</v>
      </c>
      <c r="T315" s="101" t="str">
        <f t="shared" ref="T315:T326" si="346">IF(U314=0,"$0.00",IF($S$38=4,"$0.00",IF($S$38=3,"$0.00",IF($S$38=2,R315,R315+S315))))</f>
        <v>$0.00</v>
      </c>
      <c r="U315" s="688" t="str">
        <f t="shared" ref="U315:U326" si="347">IF(U314=0,"$0.00",IF($S$38=4,U314+R315,IF($S$38=3,U314+R315,IF($S$38=2,U314,U314-S315))))</f>
        <v>$0.00</v>
      </c>
      <c r="V315" s="689"/>
      <c r="X315" s="95">
        <v>253</v>
      </c>
      <c r="Y315" s="101" t="str">
        <f t="shared" ref="Y315:Y326" si="348">IF(AB314&gt;0,AB314*($Z$36)/12,"$0.00")</f>
        <v>$0.00</v>
      </c>
      <c r="Z315" s="101" t="str">
        <f t="shared" ref="Z315:Z326" si="349">IF(AB314&gt;0,IF($Z$38=4,"$0.00",IF($Z$38=3,"$0.00",IF($Z$38=2,"$0.00",+$AB$39-Y315))),"$0.00")</f>
        <v>$0.00</v>
      </c>
      <c r="AA315" s="101" t="str">
        <f t="shared" ref="AA315:AA326" si="350">IF(AB314=0,"$0.00",IF($Z$38=4,"$0.00",IF($Z$38=3,"$0.00",IF($Z$38=2,Y315,Y315+Z315))))</f>
        <v>$0.00</v>
      </c>
      <c r="AB315" s="688" t="str">
        <f t="shared" ref="AB315:AB326" si="351">IF(AB314=0,"$0.00",IF($Z$38=4,AB314+Y315,IF($Z$38=3,AB314+Y315,IF($Z$38=2,AB314,AB314-Z315))))</f>
        <v>$0.00</v>
      </c>
      <c r="AC315" s="689"/>
    </row>
    <row r="316" spans="3:29" x14ac:dyDescent="0.2">
      <c r="C316" s="95">
        <v>254</v>
      </c>
      <c r="D316" s="101">
        <f t="shared" si="336"/>
        <v>0</v>
      </c>
      <c r="E316" s="101">
        <f t="shared" si="337"/>
        <v>0</v>
      </c>
      <c r="F316" s="101">
        <f t="shared" si="338"/>
        <v>0</v>
      </c>
      <c r="G316" s="688">
        <f t="shared" si="339"/>
        <v>0</v>
      </c>
      <c r="H316" s="689"/>
      <c r="J316" s="95">
        <v>254</v>
      </c>
      <c r="K316" s="96">
        <f t="shared" si="340"/>
        <v>0</v>
      </c>
      <c r="L316" s="96">
        <f t="shared" si="341"/>
        <v>0</v>
      </c>
      <c r="M316" s="96">
        <f t="shared" si="342"/>
        <v>0</v>
      </c>
      <c r="N316" s="688">
        <f t="shared" si="343"/>
        <v>0</v>
      </c>
      <c r="O316" s="689"/>
      <c r="Q316" s="95">
        <v>254</v>
      </c>
      <c r="R316" s="101">
        <f t="shared" si="344"/>
        <v>0</v>
      </c>
      <c r="S316" s="101">
        <f t="shared" si="345"/>
        <v>0</v>
      </c>
      <c r="T316" s="101">
        <f t="shared" si="346"/>
        <v>0</v>
      </c>
      <c r="U316" s="688">
        <f t="shared" si="347"/>
        <v>0</v>
      </c>
      <c r="V316" s="689"/>
      <c r="X316" s="95">
        <v>254</v>
      </c>
      <c r="Y316" s="101">
        <f t="shared" si="348"/>
        <v>0</v>
      </c>
      <c r="Z316" s="101">
        <f t="shared" si="349"/>
        <v>0</v>
      </c>
      <c r="AA316" s="101">
        <f t="shared" si="350"/>
        <v>0</v>
      </c>
      <c r="AB316" s="688">
        <f t="shared" si="351"/>
        <v>0</v>
      </c>
      <c r="AC316" s="689"/>
    </row>
    <row r="317" spans="3:29" x14ac:dyDescent="0.2">
      <c r="C317" s="95">
        <v>255</v>
      </c>
      <c r="D317" s="101" t="str">
        <f t="shared" si="336"/>
        <v>$0.00</v>
      </c>
      <c r="E317" s="101" t="str">
        <f t="shared" si="337"/>
        <v>$0.00</v>
      </c>
      <c r="F317" s="101" t="str">
        <f t="shared" si="338"/>
        <v>$0.00</v>
      </c>
      <c r="G317" s="688" t="str">
        <f t="shared" si="339"/>
        <v>$0.00</v>
      </c>
      <c r="H317" s="689"/>
      <c r="J317" s="95">
        <v>255</v>
      </c>
      <c r="K317" s="96">
        <f t="shared" si="340"/>
        <v>0</v>
      </c>
      <c r="L317" s="96">
        <f t="shared" si="341"/>
        <v>0</v>
      </c>
      <c r="M317" s="96">
        <f t="shared" si="342"/>
        <v>0</v>
      </c>
      <c r="N317" s="688">
        <f t="shared" si="343"/>
        <v>0</v>
      </c>
      <c r="O317" s="689"/>
      <c r="Q317" s="95">
        <v>255</v>
      </c>
      <c r="R317" s="101" t="str">
        <f t="shared" si="344"/>
        <v>$0.00</v>
      </c>
      <c r="S317" s="101" t="str">
        <f t="shared" si="345"/>
        <v>$0.00</v>
      </c>
      <c r="T317" s="101" t="str">
        <f t="shared" si="346"/>
        <v>$0.00</v>
      </c>
      <c r="U317" s="688" t="str">
        <f t="shared" si="347"/>
        <v>$0.00</v>
      </c>
      <c r="V317" s="689"/>
      <c r="X317" s="95">
        <v>255</v>
      </c>
      <c r="Y317" s="101" t="str">
        <f t="shared" si="348"/>
        <v>$0.00</v>
      </c>
      <c r="Z317" s="101" t="str">
        <f t="shared" si="349"/>
        <v>$0.00</v>
      </c>
      <c r="AA317" s="101" t="str">
        <f t="shared" si="350"/>
        <v>$0.00</v>
      </c>
      <c r="AB317" s="688" t="str">
        <f t="shared" si="351"/>
        <v>$0.00</v>
      </c>
      <c r="AC317" s="689"/>
    </row>
    <row r="318" spans="3:29" x14ac:dyDescent="0.2">
      <c r="C318" s="95">
        <v>256</v>
      </c>
      <c r="D318" s="101">
        <f t="shared" si="336"/>
        <v>0</v>
      </c>
      <c r="E318" s="101">
        <f t="shared" si="337"/>
        <v>0</v>
      </c>
      <c r="F318" s="101">
        <f t="shared" si="338"/>
        <v>0</v>
      </c>
      <c r="G318" s="688">
        <f t="shared" si="339"/>
        <v>0</v>
      </c>
      <c r="H318" s="689"/>
      <c r="J318" s="95">
        <v>256</v>
      </c>
      <c r="K318" s="96">
        <f t="shared" si="340"/>
        <v>0</v>
      </c>
      <c r="L318" s="96">
        <f t="shared" si="341"/>
        <v>0</v>
      </c>
      <c r="M318" s="96">
        <f t="shared" si="342"/>
        <v>0</v>
      </c>
      <c r="N318" s="688">
        <f t="shared" si="343"/>
        <v>0</v>
      </c>
      <c r="O318" s="689"/>
      <c r="Q318" s="95">
        <v>256</v>
      </c>
      <c r="R318" s="101">
        <f t="shared" si="344"/>
        <v>0</v>
      </c>
      <c r="S318" s="101">
        <f t="shared" si="345"/>
        <v>0</v>
      </c>
      <c r="T318" s="101">
        <f t="shared" si="346"/>
        <v>0</v>
      </c>
      <c r="U318" s="688">
        <f t="shared" si="347"/>
        <v>0</v>
      </c>
      <c r="V318" s="689"/>
      <c r="X318" s="95">
        <v>256</v>
      </c>
      <c r="Y318" s="101">
        <f t="shared" si="348"/>
        <v>0</v>
      </c>
      <c r="Z318" s="101">
        <f t="shared" si="349"/>
        <v>0</v>
      </c>
      <c r="AA318" s="101">
        <f t="shared" si="350"/>
        <v>0</v>
      </c>
      <c r="AB318" s="688">
        <f t="shared" si="351"/>
        <v>0</v>
      </c>
      <c r="AC318" s="689"/>
    </row>
    <row r="319" spans="3:29" x14ac:dyDescent="0.2">
      <c r="C319" s="95">
        <v>257</v>
      </c>
      <c r="D319" s="101" t="str">
        <f t="shared" si="336"/>
        <v>$0.00</v>
      </c>
      <c r="E319" s="101" t="str">
        <f t="shared" si="337"/>
        <v>$0.00</v>
      </c>
      <c r="F319" s="101" t="str">
        <f t="shared" si="338"/>
        <v>$0.00</v>
      </c>
      <c r="G319" s="688" t="str">
        <f t="shared" si="339"/>
        <v>$0.00</v>
      </c>
      <c r="H319" s="689"/>
      <c r="J319" s="95">
        <v>257</v>
      </c>
      <c r="K319" s="96">
        <f t="shared" si="340"/>
        <v>0</v>
      </c>
      <c r="L319" s="96">
        <f t="shared" si="341"/>
        <v>0</v>
      </c>
      <c r="M319" s="96">
        <f t="shared" si="342"/>
        <v>0</v>
      </c>
      <c r="N319" s="688">
        <f t="shared" si="343"/>
        <v>0</v>
      </c>
      <c r="O319" s="689"/>
      <c r="Q319" s="95">
        <v>257</v>
      </c>
      <c r="R319" s="101" t="str">
        <f t="shared" si="344"/>
        <v>$0.00</v>
      </c>
      <c r="S319" s="101" t="str">
        <f t="shared" si="345"/>
        <v>$0.00</v>
      </c>
      <c r="T319" s="101" t="str">
        <f t="shared" si="346"/>
        <v>$0.00</v>
      </c>
      <c r="U319" s="688" t="str">
        <f t="shared" si="347"/>
        <v>$0.00</v>
      </c>
      <c r="V319" s="689"/>
      <c r="X319" s="95">
        <v>257</v>
      </c>
      <c r="Y319" s="101" t="str">
        <f t="shared" si="348"/>
        <v>$0.00</v>
      </c>
      <c r="Z319" s="101" t="str">
        <f t="shared" si="349"/>
        <v>$0.00</v>
      </c>
      <c r="AA319" s="101" t="str">
        <f t="shared" si="350"/>
        <v>$0.00</v>
      </c>
      <c r="AB319" s="688" t="str">
        <f t="shared" si="351"/>
        <v>$0.00</v>
      </c>
      <c r="AC319" s="689"/>
    </row>
    <row r="320" spans="3:29" x14ac:dyDescent="0.2">
      <c r="C320" s="95">
        <v>258</v>
      </c>
      <c r="D320" s="101">
        <f t="shared" si="336"/>
        <v>0</v>
      </c>
      <c r="E320" s="101">
        <f t="shared" si="337"/>
        <v>0</v>
      </c>
      <c r="F320" s="101">
        <f t="shared" si="338"/>
        <v>0</v>
      </c>
      <c r="G320" s="688">
        <f t="shared" si="339"/>
        <v>0</v>
      </c>
      <c r="H320" s="689"/>
      <c r="J320" s="95">
        <v>258</v>
      </c>
      <c r="K320" s="96">
        <f t="shared" si="340"/>
        <v>0</v>
      </c>
      <c r="L320" s="96">
        <f t="shared" si="341"/>
        <v>0</v>
      </c>
      <c r="M320" s="96">
        <f t="shared" si="342"/>
        <v>0</v>
      </c>
      <c r="N320" s="688">
        <f t="shared" si="343"/>
        <v>0</v>
      </c>
      <c r="O320" s="689"/>
      <c r="Q320" s="95">
        <v>258</v>
      </c>
      <c r="R320" s="101">
        <f t="shared" si="344"/>
        <v>0</v>
      </c>
      <c r="S320" s="101">
        <f t="shared" si="345"/>
        <v>0</v>
      </c>
      <c r="T320" s="101">
        <f t="shared" si="346"/>
        <v>0</v>
      </c>
      <c r="U320" s="688">
        <f t="shared" si="347"/>
        <v>0</v>
      </c>
      <c r="V320" s="689"/>
      <c r="X320" s="95">
        <v>258</v>
      </c>
      <c r="Y320" s="101">
        <f t="shared" si="348"/>
        <v>0</v>
      </c>
      <c r="Z320" s="101">
        <f t="shared" si="349"/>
        <v>0</v>
      </c>
      <c r="AA320" s="101">
        <f t="shared" si="350"/>
        <v>0</v>
      </c>
      <c r="AB320" s="688">
        <f t="shared" si="351"/>
        <v>0</v>
      </c>
      <c r="AC320" s="689"/>
    </row>
    <row r="321" spans="3:29" x14ac:dyDescent="0.2">
      <c r="C321" s="95">
        <v>259</v>
      </c>
      <c r="D321" s="101" t="str">
        <f t="shared" si="336"/>
        <v>$0.00</v>
      </c>
      <c r="E321" s="101" t="str">
        <f t="shared" si="337"/>
        <v>$0.00</v>
      </c>
      <c r="F321" s="101" t="str">
        <f t="shared" si="338"/>
        <v>$0.00</v>
      </c>
      <c r="G321" s="688" t="str">
        <f t="shared" si="339"/>
        <v>$0.00</v>
      </c>
      <c r="H321" s="689"/>
      <c r="J321" s="95">
        <v>259</v>
      </c>
      <c r="K321" s="96">
        <f t="shared" si="340"/>
        <v>0</v>
      </c>
      <c r="L321" s="96">
        <f t="shared" si="341"/>
        <v>0</v>
      </c>
      <c r="M321" s="96">
        <f t="shared" si="342"/>
        <v>0</v>
      </c>
      <c r="N321" s="688">
        <f t="shared" si="343"/>
        <v>0</v>
      </c>
      <c r="O321" s="689"/>
      <c r="Q321" s="95">
        <v>259</v>
      </c>
      <c r="R321" s="101" t="str">
        <f t="shared" si="344"/>
        <v>$0.00</v>
      </c>
      <c r="S321" s="101" t="str">
        <f t="shared" si="345"/>
        <v>$0.00</v>
      </c>
      <c r="T321" s="101" t="str">
        <f t="shared" si="346"/>
        <v>$0.00</v>
      </c>
      <c r="U321" s="688" t="str">
        <f t="shared" si="347"/>
        <v>$0.00</v>
      </c>
      <c r="V321" s="689"/>
      <c r="X321" s="95">
        <v>259</v>
      </c>
      <c r="Y321" s="101" t="str">
        <f t="shared" si="348"/>
        <v>$0.00</v>
      </c>
      <c r="Z321" s="101" t="str">
        <f t="shared" si="349"/>
        <v>$0.00</v>
      </c>
      <c r="AA321" s="101" t="str">
        <f t="shared" si="350"/>
        <v>$0.00</v>
      </c>
      <c r="AB321" s="688" t="str">
        <f t="shared" si="351"/>
        <v>$0.00</v>
      </c>
      <c r="AC321" s="689"/>
    </row>
    <row r="322" spans="3:29" x14ac:dyDescent="0.2">
      <c r="C322" s="95">
        <v>260</v>
      </c>
      <c r="D322" s="101">
        <f t="shared" si="336"/>
        <v>0</v>
      </c>
      <c r="E322" s="101">
        <f t="shared" si="337"/>
        <v>0</v>
      </c>
      <c r="F322" s="101">
        <f t="shared" si="338"/>
        <v>0</v>
      </c>
      <c r="G322" s="688">
        <f t="shared" si="339"/>
        <v>0</v>
      </c>
      <c r="H322" s="689"/>
      <c r="J322" s="95">
        <v>260</v>
      </c>
      <c r="K322" s="96">
        <f t="shared" si="340"/>
        <v>0</v>
      </c>
      <c r="L322" s="96">
        <f t="shared" si="341"/>
        <v>0</v>
      </c>
      <c r="M322" s="96">
        <f t="shared" si="342"/>
        <v>0</v>
      </c>
      <c r="N322" s="688">
        <f t="shared" si="343"/>
        <v>0</v>
      </c>
      <c r="O322" s="689"/>
      <c r="Q322" s="95">
        <v>260</v>
      </c>
      <c r="R322" s="101">
        <f t="shared" si="344"/>
        <v>0</v>
      </c>
      <c r="S322" s="101">
        <f t="shared" si="345"/>
        <v>0</v>
      </c>
      <c r="T322" s="101">
        <f t="shared" si="346"/>
        <v>0</v>
      </c>
      <c r="U322" s="688">
        <f t="shared" si="347"/>
        <v>0</v>
      </c>
      <c r="V322" s="689"/>
      <c r="X322" s="95">
        <v>260</v>
      </c>
      <c r="Y322" s="101">
        <f t="shared" si="348"/>
        <v>0</v>
      </c>
      <c r="Z322" s="101">
        <f t="shared" si="349"/>
        <v>0</v>
      </c>
      <c r="AA322" s="101">
        <f t="shared" si="350"/>
        <v>0</v>
      </c>
      <c r="AB322" s="688">
        <f t="shared" si="351"/>
        <v>0</v>
      </c>
      <c r="AC322" s="689"/>
    </row>
    <row r="323" spans="3:29" x14ac:dyDescent="0.2">
      <c r="C323" s="95">
        <v>261</v>
      </c>
      <c r="D323" s="101" t="str">
        <f t="shared" si="336"/>
        <v>$0.00</v>
      </c>
      <c r="E323" s="101" t="str">
        <f t="shared" si="337"/>
        <v>$0.00</v>
      </c>
      <c r="F323" s="101" t="str">
        <f t="shared" si="338"/>
        <v>$0.00</v>
      </c>
      <c r="G323" s="688" t="str">
        <f t="shared" si="339"/>
        <v>$0.00</v>
      </c>
      <c r="H323" s="689"/>
      <c r="J323" s="95">
        <v>261</v>
      </c>
      <c r="K323" s="96">
        <f t="shared" si="340"/>
        <v>0</v>
      </c>
      <c r="L323" s="96">
        <f t="shared" si="341"/>
        <v>0</v>
      </c>
      <c r="M323" s="96">
        <f t="shared" si="342"/>
        <v>0</v>
      </c>
      <c r="N323" s="688">
        <f t="shared" si="343"/>
        <v>0</v>
      </c>
      <c r="O323" s="689"/>
      <c r="Q323" s="95">
        <v>261</v>
      </c>
      <c r="R323" s="101" t="str">
        <f t="shared" si="344"/>
        <v>$0.00</v>
      </c>
      <c r="S323" s="101" t="str">
        <f t="shared" si="345"/>
        <v>$0.00</v>
      </c>
      <c r="T323" s="101" t="str">
        <f t="shared" si="346"/>
        <v>$0.00</v>
      </c>
      <c r="U323" s="688" t="str">
        <f t="shared" si="347"/>
        <v>$0.00</v>
      </c>
      <c r="V323" s="689"/>
      <c r="X323" s="95">
        <v>261</v>
      </c>
      <c r="Y323" s="101" t="str">
        <f t="shared" si="348"/>
        <v>$0.00</v>
      </c>
      <c r="Z323" s="101" t="str">
        <f t="shared" si="349"/>
        <v>$0.00</v>
      </c>
      <c r="AA323" s="101" t="str">
        <f t="shared" si="350"/>
        <v>$0.00</v>
      </c>
      <c r="AB323" s="688" t="str">
        <f t="shared" si="351"/>
        <v>$0.00</v>
      </c>
      <c r="AC323" s="689"/>
    </row>
    <row r="324" spans="3:29" x14ac:dyDescent="0.2">
      <c r="C324" s="95">
        <v>262</v>
      </c>
      <c r="D324" s="101">
        <f t="shared" si="336"/>
        <v>0</v>
      </c>
      <c r="E324" s="101">
        <f t="shared" si="337"/>
        <v>0</v>
      </c>
      <c r="F324" s="101">
        <f t="shared" si="338"/>
        <v>0</v>
      </c>
      <c r="G324" s="688">
        <f t="shared" si="339"/>
        <v>0</v>
      </c>
      <c r="H324" s="689"/>
      <c r="J324" s="95">
        <v>262</v>
      </c>
      <c r="K324" s="96">
        <f t="shared" si="340"/>
        <v>0</v>
      </c>
      <c r="L324" s="96">
        <f t="shared" si="341"/>
        <v>0</v>
      </c>
      <c r="M324" s="96">
        <f t="shared" si="342"/>
        <v>0</v>
      </c>
      <c r="N324" s="688">
        <f t="shared" si="343"/>
        <v>0</v>
      </c>
      <c r="O324" s="689"/>
      <c r="Q324" s="95">
        <v>262</v>
      </c>
      <c r="R324" s="101">
        <f t="shared" si="344"/>
        <v>0</v>
      </c>
      <c r="S324" s="101">
        <f t="shared" si="345"/>
        <v>0</v>
      </c>
      <c r="T324" s="101">
        <f t="shared" si="346"/>
        <v>0</v>
      </c>
      <c r="U324" s="688">
        <f t="shared" si="347"/>
        <v>0</v>
      </c>
      <c r="V324" s="689"/>
      <c r="X324" s="95">
        <v>262</v>
      </c>
      <c r="Y324" s="101">
        <f t="shared" si="348"/>
        <v>0</v>
      </c>
      <c r="Z324" s="101">
        <f t="shared" si="349"/>
        <v>0</v>
      </c>
      <c r="AA324" s="101">
        <f t="shared" si="350"/>
        <v>0</v>
      </c>
      <c r="AB324" s="688">
        <f t="shared" si="351"/>
        <v>0</v>
      </c>
      <c r="AC324" s="689"/>
    </row>
    <row r="325" spans="3:29" x14ac:dyDescent="0.2">
      <c r="C325" s="95">
        <v>263</v>
      </c>
      <c r="D325" s="101" t="str">
        <f t="shared" si="336"/>
        <v>$0.00</v>
      </c>
      <c r="E325" s="101" t="str">
        <f t="shared" si="337"/>
        <v>$0.00</v>
      </c>
      <c r="F325" s="101" t="str">
        <f t="shared" si="338"/>
        <v>$0.00</v>
      </c>
      <c r="G325" s="688" t="str">
        <f t="shared" si="339"/>
        <v>$0.00</v>
      </c>
      <c r="H325" s="689"/>
      <c r="J325" s="95">
        <v>263</v>
      </c>
      <c r="K325" s="96">
        <f t="shared" si="340"/>
        <v>0</v>
      </c>
      <c r="L325" s="96">
        <f t="shared" si="341"/>
        <v>0</v>
      </c>
      <c r="M325" s="96">
        <f t="shared" si="342"/>
        <v>0</v>
      </c>
      <c r="N325" s="688">
        <f t="shared" si="343"/>
        <v>0</v>
      </c>
      <c r="O325" s="689"/>
      <c r="Q325" s="95">
        <v>263</v>
      </c>
      <c r="R325" s="101" t="str">
        <f t="shared" si="344"/>
        <v>$0.00</v>
      </c>
      <c r="S325" s="101" t="str">
        <f t="shared" si="345"/>
        <v>$0.00</v>
      </c>
      <c r="T325" s="101" t="str">
        <f t="shared" si="346"/>
        <v>$0.00</v>
      </c>
      <c r="U325" s="688" t="str">
        <f t="shared" si="347"/>
        <v>$0.00</v>
      </c>
      <c r="V325" s="689"/>
      <c r="X325" s="95">
        <v>263</v>
      </c>
      <c r="Y325" s="101" t="str">
        <f t="shared" si="348"/>
        <v>$0.00</v>
      </c>
      <c r="Z325" s="101" t="str">
        <f t="shared" si="349"/>
        <v>$0.00</v>
      </c>
      <c r="AA325" s="101" t="str">
        <f t="shared" si="350"/>
        <v>$0.00</v>
      </c>
      <c r="AB325" s="688" t="str">
        <f t="shared" si="351"/>
        <v>$0.00</v>
      </c>
      <c r="AC325" s="689"/>
    </row>
    <row r="326" spans="3:29" x14ac:dyDescent="0.2">
      <c r="C326" s="95">
        <v>264</v>
      </c>
      <c r="D326" s="101">
        <f t="shared" si="336"/>
        <v>0</v>
      </c>
      <c r="E326" s="101">
        <f t="shared" si="337"/>
        <v>0</v>
      </c>
      <c r="F326" s="101">
        <f t="shared" si="338"/>
        <v>0</v>
      </c>
      <c r="G326" s="690">
        <f t="shared" si="339"/>
        <v>0</v>
      </c>
      <c r="H326" s="691"/>
      <c r="J326" s="95">
        <v>264</v>
      </c>
      <c r="K326" s="96">
        <f t="shared" si="340"/>
        <v>0</v>
      </c>
      <c r="L326" s="96">
        <f t="shared" si="341"/>
        <v>0</v>
      </c>
      <c r="M326" s="96">
        <f t="shared" si="342"/>
        <v>0</v>
      </c>
      <c r="N326" s="690">
        <f t="shared" si="343"/>
        <v>0</v>
      </c>
      <c r="O326" s="691"/>
      <c r="Q326" s="95">
        <v>264</v>
      </c>
      <c r="R326" s="101">
        <f t="shared" si="344"/>
        <v>0</v>
      </c>
      <c r="S326" s="101">
        <f t="shared" si="345"/>
        <v>0</v>
      </c>
      <c r="T326" s="101">
        <f t="shared" si="346"/>
        <v>0</v>
      </c>
      <c r="U326" s="690">
        <f t="shared" si="347"/>
        <v>0</v>
      </c>
      <c r="V326" s="691"/>
      <c r="X326" s="95">
        <v>264</v>
      </c>
      <c r="Y326" s="101">
        <f t="shared" si="348"/>
        <v>0</v>
      </c>
      <c r="Z326" s="101">
        <f t="shared" si="349"/>
        <v>0</v>
      </c>
      <c r="AA326" s="101">
        <f t="shared" si="350"/>
        <v>0</v>
      </c>
      <c r="AB326" s="690">
        <f t="shared" si="351"/>
        <v>0</v>
      </c>
      <c r="AC326" s="691"/>
    </row>
    <row r="327" spans="3:29" x14ac:dyDescent="0.2">
      <c r="C327" s="97" t="s">
        <v>813</v>
      </c>
      <c r="D327" s="104">
        <f>SUM(D315:D326)</f>
        <v>0</v>
      </c>
      <c r="E327" s="104">
        <f>SUM(E315:E326)</f>
        <v>0</v>
      </c>
      <c r="F327" s="104">
        <f>SUM(F315:F326)</f>
        <v>0</v>
      </c>
      <c r="G327" s="692">
        <f>G326</f>
        <v>0</v>
      </c>
      <c r="H327" s="693"/>
      <c r="J327" s="97" t="s">
        <v>813</v>
      </c>
      <c r="K327" s="86">
        <f>SUM(K315:K326)</f>
        <v>0</v>
      </c>
      <c r="L327" s="86">
        <f>SUM(L315:L326)</f>
        <v>0</v>
      </c>
      <c r="M327" s="86">
        <f>SUM(M315:M326)</f>
        <v>0</v>
      </c>
      <c r="N327" s="692">
        <f>N326</f>
        <v>0</v>
      </c>
      <c r="O327" s="711"/>
      <c r="Q327" s="97" t="s">
        <v>813</v>
      </c>
      <c r="R327" s="104">
        <f>SUM(R315:R326)</f>
        <v>0</v>
      </c>
      <c r="S327" s="104">
        <f>SUM(S315:S326)</f>
        <v>0</v>
      </c>
      <c r="T327" s="104">
        <f>SUM(T315:T326)</f>
        <v>0</v>
      </c>
      <c r="U327" s="692">
        <f>U326</f>
        <v>0</v>
      </c>
      <c r="V327" s="693"/>
      <c r="X327" s="97" t="s">
        <v>813</v>
      </c>
      <c r="Y327" s="104">
        <f>SUM(Y315:Y326)</f>
        <v>0</v>
      </c>
      <c r="Z327" s="104">
        <f>SUM(Z315:Z326)</f>
        <v>0</v>
      </c>
      <c r="AA327" s="104">
        <f>SUM(AA315:AA326)</f>
        <v>0</v>
      </c>
      <c r="AB327" s="692">
        <f>AB326</f>
        <v>0</v>
      </c>
      <c r="AC327" s="693"/>
    </row>
    <row r="328" spans="3:29" x14ac:dyDescent="0.2">
      <c r="C328" s="95">
        <v>265</v>
      </c>
      <c r="D328" s="101" t="str">
        <f t="shared" ref="D328:D339" si="352">IF(G327&gt;0,G327*($E$36)/12,"$0.00")</f>
        <v>$0.00</v>
      </c>
      <c r="E328" s="101" t="str">
        <f t="shared" ref="E328:E339" si="353">IF(G327&gt;0,IF($E$38=4,"$0.00",IF($E$38=3,"$0.00",IF($E$38=2,"$0.00",+$G$39-D328))),"$0.00")</f>
        <v>$0.00</v>
      </c>
      <c r="F328" s="101" t="str">
        <f t="shared" ref="F328:F339" si="354">IF(G327=0,"$0.00",IF($E$38=4,"$0.00",IF($E$38=3,"$0.00",IF($E$38=2,D328,D328+E328))))</f>
        <v>$0.00</v>
      </c>
      <c r="G328" s="688" t="str">
        <f t="shared" ref="G328:G339" si="355">IF(G327=0,"$0.00",IF($E$38=4,G327+D328,IF($E$38=3,G327+D328,IF($E$38=2,G327,G327-E328))))</f>
        <v>$0.00</v>
      </c>
      <c r="H328" s="689"/>
      <c r="J328" s="95">
        <v>265</v>
      </c>
      <c r="K328" s="96">
        <f t="shared" ref="K328:K339" si="356">N327*($L$36)/12</f>
        <v>0</v>
      </c>
      <c r="L328" s="96">
        <f t="shared" ref="L328:L339" si="357">IF(L324=4,"$0.00",+$N$39-K328)</f>
        <v>0</v>
      </c>
      <c r="M328" s="96">
        <f t="shared" ref="M328:M339" si="358">IF(L324=4,"$0.00",K328+L328)</f>
        <v>0</v>
      </c>
      <c r="N328" s="709">
        <f t="shared" ref="N328:N339" si="359">IF(L324=4,N327+K328,N327-L328)</f>
        <v>0</v>
      </c>
      <c r="O328" s="710"/>
      <c r="Q328" s="95">
        <v>265</v>
      </c>
      <c r="R328" s="101" t="str">
        <f t="shared" ref="R328:R339" si="360">IF(U327&gt;0,U327*($S$36)/12,"$0.00")</f>
        <v>$0.00</v>
      </c>
      <c r="S328" s="101" t="str">
        <f t="shared" ref="S328:S339" si="361">IF(U327&gt;0,IF($S$38=4,"$0.00",IF($S$38=3,"$0.00",IF($S$38=2,"$0.00",+$U$39-R328))),"$0.00")</f>
        <v>$0.00</v>
      </c>
      <c r="T328" s="101" t="str">
        <f t="shared" ref="T328:T339" si="362">IF(U327=0,"$0.00",IF($S$38=4,"$0.00",IF($S$38=3,"$0.00",IF($S$38=2,R328,R328+S328))))</f>
        <v>$0.00</v>
      </c>
      <c r="U328" s="688" t="str">
        <f t="shared" ref="U328:U339" si="363">IF(U327=0,"$0.00",IF($S$38=4,U327+R328,IF($S$38=3,U327+R328,IF($S$38=2,U327,U327-S328))))</f>
        <v>$0.00</v>
      </c>
      <c r="V328" s="689"/>
      <c r="X328" s="95">
        <v>265</v>
      </c>
      <c r="Y328" s="101" t="str">
        <f t="shared" ref="Y328:Y339" si="364">IF(AB327&gt;0,AB327*($Z$36)/12,"$0.00")</f>
        <v>$0.00</v>
      </c>
      <c r="Z328" s="101" t="str">
        <f t="shared" ref="Z328:Z339" si="365">IF(AB327&gt;0,IF($Z$38=4,"$0.00",IF($Z$38=3,"$0.00",IF($Z$38=2,"$0.00",+$AB$39-Y328))),"$0.00")</f>
        <v>$0.00</v>
      </c>
      <c r="AA328" s="101" t="str">
        <f t="shared" ref="AA328:AA339" si="366">IF(AB327=0,"$0.00",IF($Z$38=4,"$0.00",IF($Z$38=3,"$0.00",IF($Z$38=2,Y328,Y328+Z328))))</f>
        <v>$0.00</v>
      </c>
      <c r="AB328" s="688" t="str">
        <f t="shared" ref="AB328:AB339" si="367">IF(AB327=0,"$0.00",IF($Z$38=4,AB327+Y328,IF($Z$38=3,AB327+Y328,IF($Z$38=2,AB327,AB327-Z328))))</f>
        <v>$0.00</v>
      </c>
      <c r="AC328" s="689"/>
    </row>
    <row r="329" spans="3:29" x14ac:dyDescent="0.2">
      <c r="C329" s="95">
        <v>266</v>
      </c>
      <c r="D329" s="101">
        <f t="shared" si="352"/>
        <v>0</v>
      </c>
      <c r="E329" s="101">
        <f t="shared" si="353"/>
        <v>0</v>
      </c>
      <c r="F329" s="101">
        <f t="shared" si="354"/>
        <v>0</v>
      </c>
      <c r="G329" s="688">
        <f t="shared" si="355"/>
        <v>0</v>
      </c>
      <c r="H329" s="689"/>
      <c r="J329" s="95">
        <v>266</v>
      </c>
      <c r="K329" s="96">
        <f t="shared" si="356"/>
        <v>0</v>
      </c>
      <c r="L329" s="96">
        <f t="shared" si="357"/>
        <v>0</v>
      </c>
      <c r="M329" s="96">
        <f t="shared" si="358"/>
        <v>0</v>
      </c>
      <c r="N329" s="688">
        <f t="shared" si="359"/>
        <v>0</v>
      </c>
      <c r="O329" s="689"/>
      <c r="Q329" s="95">
        <v>266</v>
      </c>
      <c r="R329" s="101">
        <f t="shared" si="360"/>
        <v>0</v>
      </c>
      <c r="S329" s="101">
        <f t="shared" si="361"/>
        <v>0</v>
      </c>
      <c r="T329" s="101">
        <f t="shared" si="362"/>
        <v>0</v>
      </c>
      <c r="U329" s="688">
        <f t="shared" si="363"/>
        <v>0</v>
      </c>
      <c r="V329" s="689"/>
      <c r="X329" s="95">
        <v>266</v>
      </c>
      <c r="Y329" s="101">
        <f t="shared" si="364"/>
        <v>0</v>
      </c>
      <c r="Z329" s="101">
        <f t="shared" si="365"/>
        <v>0</v>
      </c>
      <c r="AA329" s="101">
        <f t="shared" si="366"/>
        <v>0</v>
      </c>
      <c r="AB329" s="688">
        <f t="shared" si="367"/>
        <v>0</v>
      </c>
      <c r="AC329" s="689"/>
    </row>
    <row r="330" spans="3:29" x14ac:dyDescent="0.2">
      <c r="C330" s="95">
        <v>267</v>
      </c>
      <c r="D330" s="101" t="str">
        <f t="shared" si="352"/>
        <v>$0.00</v>
      </c>
      <c r="E330" s="101" t="str">
        <f t="shared" si="353"/>
        <v>$0.00</v>
      </c>
      <c r="F330" s="101" t="str">
        <f t="shared" si="354"/>
        <v>$0.00</v>
      </c>
      <c r="G330" s="688" t="str">
        <f t="shared" si="355"/>
        <v>$0.00</v>
      </c>
      <c r="H330" s="689"/>
      <c r="J330" s="95">
        <v>267</v>
      </c>
      <c r="K330" s="96">
        <f t="shared" si="356"/>
        <v>0</v>
      </c>
      <c r="L330" s="96">
        <f t="shared" si="357"/>
        <v>0</v>
      </c>
      <c r="M330" s="96">
        <f t="shared" si="358"/>
        <v>0</v>
      </c>
      <c r="N330" s="688">
        <f t="shared" si="359"/>
        <v>0</v>
      </c>
      <c r="O330" s="689"/>
      <c r="Q330" s="95">
        <v>267</v>
      </c>
      <c r="R330" s="101" t="str">
        <f t="shared" si="360"/>
        <v>$0.00</v>
      </c>
      <c r="S330" s="101" t="str">
        <f t="shared" si="361"/>
        <v>$0.00</v>
      </c>
      <c r="T330" s="101" t="str">
        <f t="shared" si="362"/>
        <v>$0.00</v>
      </c>
      <c r="U330" s="688" t="str">
        <f t="shared" si="363"/>
        <v>$0.00</v>
      </c>
      <c r="V330" s="689"/>
      <c r="X330" s="95">
        <v>267</v>
      </c>
      <c r="Y330" s="101" t="str">
        <f t="shared" si="364"/>
        <v>$0.00</v>
      </c>
      <c r="Z330" s="101" t="str">
        <f t="shared" si="365"/>
        <v>$0.00</v>
      </c>
      <c r="AA330" s="101" t="str">
        <f t="shared" si="366"/>
        <v>$0.00</v>
      </c>
      <c r="AB330" s="688" t="str">
        <f t="shared" si="367"/>
        <v>$0.00</v>
      </c>
      <c r="AC330" s="689"/>
    </row>
    <row r="331" spans="3:29" x14ac:dyDescent="0.2">
      <c r="C331" s="95">
        <v>268</v>
      </c>
      <c r="D331" s="101">
        <f t="shared" si="352"/>
        <v>0</v>
      </c>
      <c r="E331" s="101">
        <f t="shared" si="353"/>
        <v>0</v>
      </c>
      <c r="F331" s="101">
        <f t="shared" si="354"/>
        <v>0</v>
      </c>
      <c r="G331" s="688">
        <f t="shared" si="355"/>
        <v>0</v>
      </c>
      <c r="H331" s="689"/>
      <c r="J331" s="95">
        <v>268</v>
      </c>
      <c r="K331" s="96">
        <f t="shared" si="356"/>
        <v>0</v>
      </c>
      <c r="L331" s="96">
        <f t="shared" si="357"/>
        <v>0</v>
      </c>
      <c r="M331" s="96">
        <f t="shared" si="358"/>
        <v>0</v>
      </c>
      <c r="N331" s="688">
        <f t="shared" si="359"/>
        <v>0</v>
      </c>
      <c r="O331" s="689"/>
      <c r="Q331" s="95">
        <v>268</v>
      </c>
      <c r="R331" s="101">
        <f t="shared" si="360"/>
        <v>0</v>
      </c>
      <c r="S331" s="101">
        <f t="shared" si="361"/>
        <v>0</v>
      </c>
      <c r="T331" s="101">
        <f t="shared" si="362"/>
        <v>0</v>
      </c>
      <c r="U331" s="688">
        <f t="shared" si="363"/>
        <v>0</v>
      </c>
      <c r="V331" s="689"/>
      <c r="X331" s="95">
        <v>268</v>
      </c>
      <c r="Y331" s="101">
        <f t="shared" si="364"/>
        <v>0</v>
      </c>
      <c r="Z331" s="101">
        <f t="shared" si="365"/>
        <v>0</v>
      </c>
      <c r="AA331" s="101">
        <f t="shared" si="366"/>
        <v>0</v>
      </c>
      <c r="AB331" s="688">
        <f t="shared" si="367"/>
        <v>0</v>
      </c>
      <c r="AC331" s="689"/>
    </row>
    <row r="332" spans="3:29" x14ac:dyDescent="0.2">
      <c r="C332" s="95">
        <v>269</v>
      </c>
      <c r="D332" s="101" t="str">
        <f t="shared" si="352"/>
        <v>$0.00</v>
      </c>
      <c r="E332" s="101" t="str">
        <f t="shared" si="353"/>
        <v>$0.00</v>
      </c>
      <c r="F332" s="101" t="str">
        <f t="shared" si="354"/>
        <v>$0.00</v>
      </c>
      <c r="G332" s="688" t="str">
        <f t="shared" si="355"/>
        <v>$0.00</v>
      </c>
      <c r="H332" s="689"/>
      <c r="J332" s="95">
        <v>269</v>
      </c>
      <c r="K332" s="96">
        <f t="shared" si="356"/>
        <v>0</v>
      </c>
      <c r="L332" s="96">
        <f t="shared" si="357"/>
        <v>0</v>
      </c>
      <c r="M332" s="96">
        <f t="shared" si="358"/>
        <v>0</v>
      </c>
      <c r="N332" s="688">
        <f t="shared" si="359"/>
        <v>0</v>
      </c>
      <c r="O332" s="689"/>
      <c r="Q332" s="95">
        <v>269</v>
      </c>
      <c r="R332" s="101" t="str">
        <f t="shared" si="360"/>
        <v>$0.00</v>
      </c>
      <c r="S332" s="101" t="str">
        <f t="shared" si="361"/>
        <v>$0.00</v>
      </c>
      <c r="T332" s="101" t="str">
        <f t="shared" si="362"/>
        <v>$0.00</v>
      </c>
      <c r="U332" s="688" t="str">
        <f t="shared" si="363"/>
        <v>$0.00</v>
      </c>
      <c r="V332" s="689"/>
      <c r="X332" s="95">
        <v>269</v>
      </c>
      <c r="Y332" s="101" t="str">
        <f t="shared" si="364"/>
        <v>$0.00</v>
      </c>
      <c r="Z332" s="101" t="str">
        <f t="shared" si="365"/>
        <v>$0.00</v>
      </c>
      <c r="AA332" s="101" t="str">
        <f t="shared" si="366"/>
        <v>$0.00</v>
      </c>
      <c r="AB332" s="688" t="str">
        <f t="shared" si="367"/>
        <v>$0.00</v>
      </c>
      <c r="AC332" s="689"/>
    </row>
    <row r="333" spans="3:29" x14ac:dyDescent="0.2">
      <c r="C333" s="95">
        <v>270</v>
      </c>
      <c r="D333" s="101">
        <f t="shared" si="352"/>
        <v>0</v>
      </c>
      <c r="E333" s="101">
        <f t="shared" si="353"/>
        <v>0</v>
      </c>
      <c r="F333" s="101">
        <f t="shared" si="354"/>
        <v>0</v>
      </c>
      <c r="G333" s="688">
        <f t="shared" si="355"/>
        <v>0</v>
      </c>
      <c r="H333" s="689"/>
      <c r="J333" s="95">
        <v>270</v>
      </c>
      <c r="K333" s="96">
        <f t="shared" si="356"/>
        <v>0</v>
      </c>
      <c r="L333" s="96">
        <f t="shared" si="357"/>
        <v>0</v>
      </c>
      <c r="M333" s="96">
        <f t="shared" si="358"/>
        <v>0</v>
      </c>
      <c r="N333" s="688">
        <f t="shared" si="359"/>
        <v>0</v>
      </c>
      <c r="O333" s="689"/>
      <c r="Q333" s="95">
        <v>270</v>
      </c>
      <c r="R333" s="101">
        <f t="shared" si="360"/>
        <v>0</v>
      </c>
      <c r="S333" s="101">
        <f t="shared" si="361"/>
        <v>0</v>
      </c>
      <c r="T333" s="101">
        <f t="shared" si="362"/>
        <v>0</v>
      </c>
      <c r="U333" s="688">
        <f t="shared" si="363"/>
        <v>0</v>
      </c>
      <c r="V333" s="689"/>
      <c r="X333" s="95">
        <v>270</v>
      </c>
      <c r="Y333" s="101">
        <f t="shared" si="364"/>
        <v>0</v>
      </c>
      <c r="Z333" s="101">
        <f t="shared" si="365"/>
        <v>0</v>
      </c>
      <c r="AA333" s="101">
        <f t="shared" si="366"/>
        <v>0</v>
      </c>
      <c r="AB333" s="688">
        <f t="shared" si="367"/>
        <v>0</v>
      </c>
      <c r="AC333" s="689"/>
    </row>
    <row r="334" spans="3:29" x14ac:dyDescent="0.2">
      <c r="C334" s="95">
        <v>271</v>
      </c>
      <c r="D334" s="101" t="str">
        <f t="shared" si="352"/>
        <v>$0.00</v>
      </c>
      <c r="E334" s="101" t="str">
        <f t="shared" si="353"/>
        <v>$0.00</v>
      </c>
      <c r="F334" s="101" t="str">
        <f t="shared" si="354"/>
        <v>$0.00</v>
      </c>
      <c r="G334" s="688" t="str">
        <f t="shared" si="355"/>
        <v>$0.00</v>
      </c>
      <c r="H334" s="689"/>
      <c r="J334" s="95">
        <v>271</v>
      </c>
      <c r="K334" s="96">
        <f t="shared" si="356"/>
        <v>0</v>
      </c>
      <c r="L334" s="96">
        <f t="shared" si="357"/>
        <v>0</v>
      </c>
      <c r="M334" s="96">
        <f t="shared" si="358"/>
        <v>0</v>
      </c>
      <c r="N334" s="688">
        <f t="shared" si="359"/>
        <v>0</v>
      </c>
      <c r="O334" s="689"/>
      <c r="Q334" s="95">
        <v>271</v>
      </c>
      <c r="R334" s="101" t="str">
        <f t="shared" si="360"/>
        <v>$0.00</v>
      </c>
      <c r="S334" s="101" t="str">
        <f t="shared" si="361"/>
        <v>$0.00</v>
      </c>
      <c r="T334" s="101" t="str">
        <f t="shared" si="362"/>
        <v>$0.00</v>
      </c>
      <c r="U334" s="688" t="str">
        <f t="shared" si="363"/>
        <v>$0.00</v>
      </c>
      <c r="V334" s="689"/>
      <c r="X334" s="95">
        <v>271</v>
      </c>
      <c r="Y334" s="101" t="str">
        <f t="shared" si="364"/>
        <v>$0.00</v>
      </c>
      <c r="Z334" s="101" t="str">
        <f t="shared" si="365"/>
        <v>$0.00</v>
      </c>
      <c r="AA334" s="101" t="str">
        <f t="shared" si="366"/>
        <v>$0.00</v>
      </c>
      <c r="AB334" s="688" t="str">
        <f t="shared" si="367"/>
        <v>$0.00</v>
      </c>
      <c r="AC334" s="689"/>
    </row>
    <row r="335" spans="3:29" x14ac:dyDescent="0.2">
      <c r="C335" s="95">
        <v>272</v>
      </c>
      <c r="D335" s="101">
        <f t="shared" si="352"/>
        <v>0</v>
      </c>
      <c r="E335" s="101">
        <f t="shared" si="353"/>
        <v>0</v>
      </c>
      <c r="F335" s="101">
        <f t="shared" si="354"/>
        <v>0</v>
      </c>
      <c r="G335" s="688">
        <f t="shared" si="355"/>
        <v>0</v>
      </c>
      <c r="H335" s="689"/>
      <c r="J335" s="95">
        <v>272</v>
      </c>
      <c r="K335" s="96">
        <f t="shared" si="356"/>
        <v>0</v>
      </c>
      <c r="L335" s="96">
        <f t="shared" si="357"/>
        <v>0</v>
      </c>
      <c r="M335" s="96">
        <f t="shared" si="358"/>
        <v>0</v>
      </c>
      <c r="N335" s="688">
        <f t="shared" si="359"/>
        <v>0</v>
      </c>
      <c r="O335" s="689"/>
      <c r="Q335" s="95">
        <v>272</v>
      </c>
      <c r="R335" s="101">
        <f t="shared" si="360"/>
        <v>0</v>
      </c>
      <c r="S335" s="101">
        <f t="shared" si="361"/>
        <v>0</v>
      </c>
      <c r="T335" s="101">
        <f t="shared" si="362"/>
        <v>0</v>
      </c>
      <c r="U335" s="688">
        <f t="shared" si="363"/>
        <v>0</v>
      </c>
      <c r="V335" s="689"/>
      <c r="X335" s="95">
        <v>272</v>
      </c>
      <c r="Y335" s="101">
        <f t="shared" si="364"/>
        <v>0</v>
      </c>
      <c r="Z335" s="101">
        <f t="shared" si="365"/>
        <v>0</v>
      </c>
      <c r="AA335" s="101">
        <f t="shared" si="366"/>
        <v>0</v>
      </c>
      <c r="AB335" s="688">
        <f t="shared" si="367"/>
        <v>0</v>
      </c>
      <c r="AC335" s="689"/>
    </row>
    <row r="336" spans="3:29" x14ac:dyDescent="0.2">
      <c r="C336" s="95">
        <v>273</v>
      </c>
      <c r="D336" s="101" t="str">
        <f t="shared" si="352"/>
        <v>$0.00</v>
      </c>
      <c r="E336" s="101" t="str">
        <f t="shared" si="353"/>
        <v>$0.00</v>
      </c>
      <c r="F336" s="101" t="str">
        <f t="shared" si="354"/>
        <v>$0.00</v>
      </c>
      <c r="G336" s="688" t="str">
        <f t="shared" si="355"/>
        <v>$0.00</v>
      </c>
      <c r="H336" s="689"/>
      <c r="J336" s="95">
        <v>273</v>
      </c>
      <c r="K336" s="96">
        <f t="shared" si="356"/>
        <v>0</v>
      </c>
      <c r="L336" s="96">
        <f t="shared" si="357"/>
        <v>0</v>
      </c>
      <c r="M336" s="96">
        <f t="shared" si="358"/>
        <v>0</v>
      </c>
      <c r="N336" s="688">
        <f t="shared" si="359"/>
        <v>0</v>
      </c>
      <c r="O336" s="689"/>
      <c r="Q336" s="95">
        <v>273</v>
      </c>
      <c r="R336" s="101" t="str">
        <f t="shared" si="360"/>
        <v>$0.00</v>
      </c>
      <c r="S336" s="101" t="str">
        <f t="shared" si="361"/>
        <v>$0.00</v>
      </c>
      <c r="T336" s="101" t="str">
        <f t="shared" si="362"/>
        <v>$0.00</v>
      </c>
      <c r="U336" s="688" t="str">
        <f t="shared" si="363"/>
        <v>$0.00</v>
      </c>
      <c r="V336" s="689"/>
      <c r="X336" s="95">
        <v>273</v>
      </c>
      <c r="Y336" s="101" t="str">
        <f t="shared" si="364"/>
        <v>$0.00</v>
      </c>
      <c r="Z336" s="101" t="str">
        <f t="shared" si="365"/>
        <v>$0.00</v>
      </c>
      <c r="AA336" s="101" t="str">
        <f t="shared" si="366"/>
        <v>$0.00</v>
      </c>
      <c r="AB336" s="688" t="str">
        <f t="shared" si="367"/>
        <v>$0.00</v>
      </c>
      <c r="AC336" s="689"/>
    </row>
    <row r="337" spans="3:29" x14ac:dyDescent="0.2">
      <c r="C337" s="95">
        <v>274</v>
      </c>
      <c r="D337" s="101">
        <f t="shared" si="352"/>
        <v>0</v>
      </c>
      <c r="E337" s="101">
        <f t="shared" si="353"/>
        <v>0</v>
      </c>
      <c r="F337" s="101">
        <f t="shared" si="354"/>
        <v>0</v>
      </c>
      <c r="G337" s="688">
        <f t="shared" si="355"/>
        <v>0</v>
      </c>
      <c r="H337" s="689"/>
      <c r="J337" s="95">
        <v>274</v>
      </c>
      <c r="K337" s="96">
        <f t="shared" si="356"/>
        <v>0</v>
      </c>
      <c r="L337" s="96">
        <f t="shared" si="357"/>
        <v>0</v>
      </c>
      <c r="M337" s="96">
        <f t="shared" si="358"/>
        <v>0</v>
      </c>
      <c r="N337" s="688">
        <f t="shared" si="359"/>
        <v>0</v>
      </c>
      <c r="O337" s="689"/>
      <c r="Q337" s="95">
        <v>274</v>
      </c>
      <c r="R337" s="101">
        <f t="shared" si="360"/>
        <v>0</v>
      </c>
      <c r="S337" s="101">
        <f t="shared" si="361"/>
        <v>0</v>
      </c>
      <c r="T337" s="101">
        <f t="shared" si="362"/>
        <v>0</v>
      </c>
      <c r="U337" s="688">
        <f t="shared" si="363"/>
        <v>0</v>
      </c>
      <c r="V337" s="689"/>
      <c r="X337" s="95">
        <v>274</v>
      </c>
      <c r="Y337" s="101">
        <f t="shared" si="364"/>
        <v>0</v>
      </c>
      <c r="Z337" s="101">
        <f t="shared" si="365"/>
        <v>0</v>
      </c>
      <c r="AA337" s="101">
        <f t="shared" si="366"/>
        <v>0</v>
      </c>
      <c r="AB337" s="688">
        <f t="shared" si="367"/>
        <v>0</v>
      </c>
      <c r="AC337" s="689"/>
    </row>
    <row r="338" spans="3:29" x14ac:dyDescent="0.2">
      <c r="C338" s="95">
        <v>275</v>
      </c>
      <c r="D338" s="101" t="str">
        <f t="shared" si="352"/>
        <v>$0.00</v>
      </c>
      <c r="E338" s="101" t="str">
        <f t="shared" si="353"/>
        <v>$0.00</v>
      </c>
      <c r="F338" s="101" t="str">
        <f t="shared" si="354"/>
        <v>$0.00</v>
      </c>
      <c r="G338" s="688" t="str">
        <f t="shared" si="355"/>
        <v>$0.00</v>
      </c>
      <c r="H338" s="689"/>
      <c r="J338" s="95">
        <v>275</v>
      </c>
      <c r="K338" s="96">
        <f t="shared" si="356"/>
        <v>0</v>
      </c>
      <c r="L338" s="96">
        <f t="shared" si="357"/>
        <v>0</v>
      </c>
      <c r="M338" s="96">
        <f t="shared" si="358"/>
        <v>0</v>
      </c>
      <c r="N338" s="688">
        <f t="shared" si="359"/>
        <v>0</v>
      </c>
      <c r="O338" s="689"/>
      <c r="Q338" s="95">
        <v>275</v>
      </c>
      <c r="R338" s="101" t="str">
        <f t="shared" si="360"/>
        <v>$0.00</v>
      </c>
      <c r="S338" s="101" t="str">
        <f t="shared" si="361"/>
        <v>$0.00</v>
      </c>
      <c r="T338" s="101" t="str">
        <f t="shared" si="362"/>
        <v>$0.00</v>
      </c>
      <c r="U338" s="688" t="str">
        <f t="shared" si="363"/>
        <v>$0.00</v>
      </c>
      <c r="V338" s="689"/>
      <c r="X338" s="95">
        <v>275</v>
      </c>
      <c r="Y338" s="101" t="str">
        <f t="shared" si="364"/>
        <v>$0.00</v>
      </c>
      <c r="Z338" s="101" t="str">
        <f t="shared" si="365"/>
        <v>$0.00</v>
      </c>
      <c r="AA338" s="101" t="str">
        <f t="shared" si="366"/>
        <v>$0.00</v>
      </c>
      <c r="AB338" s="688" t="str">
        <f t="shared" si="367"/>
        <v>$0.00</v>
      </c>
      <c r="AC338" s="689"/>
    </row>
    <row r="339" spans="3:29" x14ac:dyDescent="0.2">
      <c r="C339" s="95">
        <v>276</v>
      </c>
      <c r="D339" s="101">
        <f t="shared" si="352"/>
        <v>0</v>
      </c>
      <c r="E339" s="101">
        <f t="shared" si="353"/>
        <v>0</v>
      </c>
      <c r="F339" s="101">
        <f t="shared" si="354"/>
        <v>0</v>
      </c>
      <c r="G339" s="690">
        <f t="shared" si="355"/>
        <v>0</v>
      </c>
      <c r="H339" s="691"/>
      <c r="J339" s="95">
        <v>276</v>
      </c>
      <c r="K339" s="96">
        <f t="shared" si="356"/>
        <v>0</v>
      </c>
      <c r="L339" s="96">
        <f t="shared" si="357"/>
        <v>0</v>
      </c>
      <c r="M339" s="96">
        <f t="shared" si="358"/>
        <v>0</v>
      </c>
      <c r="N339" s="690">
        <f t="shared" si="359"/>
        <v>0</v>
      </c>
      <c r="O339" s="691"/>
      <c r="Q339" s="95">
        <v>276</v>
      </c>
      <c r="R339" s="101">
        <f t="shared" si="360"/>
        <v>0</v>
      </c>
      <c r="S339" s="101">
        <f t="shared" si="361"/>
        <v>0</v>
      </c>
      <c r="T339" s="101">
        <f t="shared" si="362"/>
        <v>0</v>
      </c>
      <c r="U339" s="690">
        <f t="shared" si="363"/>
        <v>0</v>
      </c>
      <c r="V339" s="691"/>
      <c r="X339" s="95">
        <v>276</v>
      </c>
      <c r="Y339" s="101">
        <f t="shared" si="364"/>
        <v>0</v>
      </c>
      <c r="Z339" s="101">
        <f t="shared" si="365"/>
        <v>0</v>
      </c>
      <c r="AA339" s="101">
        <f t="shared" si="366"/>
        <v>0</v>
      </c>
      <c r="AB339" s="690">
        <f t="shared" si="367"/>
        <v>0</v>
      </c>
      <c r="AC339" s="691"/>
    </row>
    <row r="340" spans="3:29" x14ac:dyDescent="0.2">
      <c r="C340" s="97" t="s">
        <v>814</v>
      </c>
      <c r="D340" s="104">
        <f>SUM(D328:D339)</f>
        <v>0</v>
      </c>
      <c r="E340" s="104">
        <f>SUM(E328:E339)</f>
        <v>0</v>
      </c>
      <c r="F340" s="104">
        <f>SUM(F328:F339)</f>
        <v>0</v>
      </c>
      <c r="G340" s="692">
        <f>G339</f>
        <v>0</v>
      </c>
      <c r="H340" s="693"/>
      <c r="J340" s="97" t="s">
        <v>814</v>
      </c>
      <c r="K340" s="86">
        <f>SUM(K328:K339)</f>
        <v>0</v>
      </c>
      <c r="L340" s="86">
        <f>SUM(L328:L339)</f>
        <v>0</v>
      </c>
      <c r="M340" s="86">
        <f>SUM(M328:M339)</f>
        <v>0</v>
      </c>
      <c r="N340" s="692">
        <f>N339</f>
        <v>0</v>
      </c>
      <c r="O340" s="711"/>
      <c r="Q340" s="97" t="s">
        <v>814</v>
      </c>
      <c r="R340" s="104">
        <f>SUM(R328:R339)</f>
        <v>0</v>
      </c>
      <c r="S340" s="104">
        <f>SUM(S328:S339)</f>
        <v>0</v>
      </c>
      <c r="T340" s="104">
        <f>SUM(T328:T339)</f>
        <v>0</v>
      </c>
      <c r="U340" s="692">
        <f>U339</f>
        <v>0</v>
      </c>
      <c r="V340" s="693"/>
      <c r="X340" s="97" t="s">
        <v>814</v>
      </c>
      <c r="Y340" s="104">
        <f>SUM(Y328:Y339)</f>
        <v>0</v>
      </c>
      <c r="Z340" s="104">
        <f>SUM(Z328:Z339)</f>
        <v>0</v>
      </c>
      <c r="AA340" s="104">
        <f>SUM(AA328:AA339)</f>
        <v>0</v>
      </c>
      <c r="AB340" s="692">
        <f>AB339</f>
        <v>0</v>
      </c>
      <c r="AC340" s="693"/>
    </row>
    <row r="341" spans="3:29" x14ac:dyDescent="0.2">
      <c r="C341" s="95">
        <v>277</v>
      </c>
      <c r="D341" s="101" t="str">
        <f t="shared" ref="D341:D352" si="368">IF(G340&gt;0,G340*($E$36)/12,"$0.00")</f>
        <v>$0.00</v>
      </c>
      <c r="E341" s="101" t="str">
        <f t="shared" ref="E341:E352" si="369">IF(G340&gt;0,IF($E$38=4,"$0.00",IF($E$38=3,"$0.00",IF($E$38=2,"$0.00",+$G$39-D341))),"$0.00")</f>
        <v>$0.00</v>
      </c>
      <c r="F341" s="101" t="str">
        <f t="shared" ref="F341:F352" si="370">IF(G340=0,"$0.00",IF($E$38=4,"$0.00",IF($E$38=3,"$0.00",IF($E$38=2,D341,D341+E341))))</f>
        <v>$0.00</v>
      </c>
      <c r="G341" s="688" t="str">
        <f t="shared" ref="G341:G352" si="371">IF(G340=0,"$0.00",IF($E$38=4,G340+D341,IF($E$38=3,G340+D341,IF($E$38=2,G340,G340-E341))))</f>
        <v>$0.00</v>
      </c>
      <c r="H341" s="689"/>
      <c r="J341" s="95">
        <v>277</v>
      </c>
      <c r="K341" s="96">
        <f t="shared" ref="K341:K352" si="372">N340*($L$36)/12</f>
        <v>0</v>
      </c>
      <c r="L341" s="96">
        <f t="shared" ref="L341:L352" si="373">IF(L337=4,"$0.00",+$N$39-K341)</f>
        <v>0</v>
      </c>
      <c r="M341" s="96">
        <f t="shared" ref="M341:M352" si="374">IF(L337=4,"$0.00",K341+L341)</f>
        <v>0</v>
      </c>
      <c r="N341" s="709">
        <f t="shared" ref="N341:N352" si="375">IF(L337=4,N340+K341,N340-L341)</f>
        <v>0</v>
      </c>
      <c r="O341" s="710"/>
      <c r="Q341" s="95">
        <v>277</v>
      </c>
      <c r="R341" s="101" t="str">
        <f t="shared" ref="R341:R352" si="376">IF(U340&gt;0,U340*($S$36)/12,"$0.00")</f>
        <v>$0.00</v>
      </c>
      <c r="S341" s="101" t="str">
        <f t="shared" ref="S341:S352" si="377">IF(U340&gt;0,IF($S$38=4,"$0.00",IF($S$38=3,"$0.00",IF($S$38=2,"$0.00",+$U$39-R341))),"$0.00")</f>
        <v>$0.00</v>
      </c>
      <c r="T341" s="101" t="str">
        <f t="shared" ref="T341:T352" si="378">IF(U340=0,"$0.00",IF($S$38=4,"$0.00",IF($S$38=3,"$0.00",IF($S$38=2,R341,R341+S341))))</f>
        <v>$0.00</v>
      </c>
      <c r="U341" s="688" t="str">
        <f t="shared" ref="U341:U352" si="379">IF(U340=0,"$0.00",IF($S$38=4,U340+R341,IF($S$38=3,U340+R341,IF($S$38=2,U340,U340-S341))))</f>
        <v>$0.00</v>
      </c>
      <c r="V341" s="689"/>
      <c r="X341" s="95">
        <v>277</v>
      </c>
      <c r="Y341" s="101" t="str">
        <f t="shared" ref="Y341:Y352" si="380">IF(AB340&gt;0,AB340*($Z$36)/12,"$0.00")</f>
        <v>$0.00</v>
      </c>
      <c r="Z341" s="101" t="str">
        <f t="shared" ref="Z341:Z352" si="381">IF(AB340&gt;0,IF($Z$38=4,"$0.00",IF($Z$38=3,"$0.00",IF($Z$38=2,"$0.00",+$AB$39-Y341))),"$0.00")</f>
        <v>$0.00</v>
      </c>
      <c r="AA341" s="101" t="str">
        <f t="shared" ref="AA341:AA352" si="382">IF(AB340=0,"$0.00",IF($Z$38=4,"$0.00",IF($Z$38=3,"$0.00",IF($Z$38=2,Y341,Y341+Z341))))</f>
        <v>$0.00</v>
      </c>
      <c r="AB341" s="688" t="str">
        <f t="shared" ref="AB341:AB352" si="383">IF(AB340=0,"$0.00",IF($Z$38=4,AB340+Y341,IF($Z$38=3,AB340+Y341,IF($Z$38=2,AB340,AB340-Z341))))</f>
        <v>$0.00</v>
      </c>
      <c r="AC341" s="689"/>
    </row>
    <row r="342" spans="3:29" x14ac:dyDescent="0.2">
      <c r="C342" s="95">
        <v>278</v>
      </c>
      <c r="D342" s="101">
        <f t="shared" si="368"/>
        <v>0</v>
      </c>
      <c r="E342" s="101">
        <f t="shared" si="369"/>
        <v>0</v>
      </c>
      <c r="F342" s="101">
        <f t="shared" si="370"/>
        <v>0</v>
      </c>
      <c r="G342" s="688">
        <f t="shared" si="371"/>
        <v>0</v>
      </c>
      <c r="H342" s="689"/>
      <c r="J342" s="95">
        <v>278</v>
      </c>
      <c r="K342" s="96">
        <f t="shared" si="372"/>
        <v>0</v>
      </c>
      <c r="L342" s="96">
        <f t="shared" si="373"/>
        <v>0</v>
      </c>
      <c r="M342" s="96">
        <f t="shared" si="374"/>
        <v>0</v>
      </c>
      <c r="N342" s="688">
        <f t="shared" si="375"/>
        <v>0</v>
      </c>
      <c r="O342" s="689"/>
      <c r="Q342" s="95">
        <v>278</v>
      </c>
      <c r="R342" s="101">
        <f t="shared" si="376"/>
        <v>0</v>
      </c>
      <c r="S342" s="101">
        <f t="shared" si="377"/>
        <v>0</v>
      </c>
      <c r="T342" s="101">
        <f t="shared" si="378"/>
        <v>0</v>
      </c>
      <c r="U342" s="688">
        <f t="shared" si="379"/>
        <v>0</v>
      </c>
      <c r="V342" s="689"/>
      <c r="X342" s="95">
        <v>278</v>
      </c>
      <c r="Y342" s="101">
        <f t="shared" si="380"/>
        <v>0</v>
      </c>
      <c r="Z342" s="101">
        <f t="shared" si="381"/>
        <v>0</v>
      </c>
      <c r="AA342" s="101">
        <f t="shared" si="382"/>
        <v>0</v>
      </c>
      <c r="AB342" s="688">
        <f t="shared" si="383"/>
        <v>0</v>
      </c>
      <c r="AC342" s="689"/>
    </row>
    <row r="343" spans="3:29" x14ac:dyDescent="0.2">
      <c r="C343" s="95">
        <v>279</v>
      </c>
      <c r="D343" s="101" t="str">
        <f t="shared" si="368"/>
        <v>$0.00</v>
      </c>
      <c r="E343" s="101" t="str">
        <f t="shared" si="369"/>
        <v>$0.00</v>
      </c>
      <c r="F343" s="101" t="str">
        <f t="shared" si="370"/>
        <v>$0.00</v>
      </c>
      <c r="G343" s="688" t="str">
        <f t="shared" si="371"/>
        <v>$0.00</v>
      </c>
      <c r="H343" s="689"/>
      <c r="J343" s="95">
        <v>279</v>
      </c>
      <c r="K343" s="96">
        <f t="shared" si="372"/>
        <v>0</v>
      </c>
      <c r="L343" s="96">
        <f t="shared" si="373"/>
        <v>0</v>
      </c>
      <c r="M343" s="96">
        <f t="shared" si="374"/>
        <v>0</v>
      </c>
      <c r="N343" s="688">
        <f t="shared" si="375"/>
        <v>0</v>
      </c>
      <c r="O343" s="689"/>
      <c r="Q343" s="95">
        <v>279</v>
      </c>
      <c r="R343" s="101" t="str">
        <f t="shared" si="376"/>
        <v>$0.00</v>
      </c>
      <c r="S343" s="101" t="str">
        <f t="shared" si="377"/>
        <v>$0.00</v>
      </c>
      <c r="T343" s="101" t="str">
        <f t="shared" si="378"/>
        <v>$0.00</v>
      </c>
      <c r="U343" s="688" t="str">
        <f t="shared" si="379"/>
        <v>$0.00</v>
      </c>
      <c r="V343" s="689"/>
      <c r="X343" s="95">
        <v>279</v>
      </c>
      <c r="Y343" s="101" t="str">
        <f t="shared" si="380"/>
        <v>$0.00</v>
      </c>
      <c r="Z343" s="101" t="str">
        <f t="shared" si="381"/>
        <v>$0.00</v>
      </c>
      <c r="AA343" s="101" t="str">
        <f t="shared" si="382"/>
        <v>$0.00</v>
      </c>
      <c r="AB343" s="688" t="str">
        <f t="shared" si="383"/>
        <v>$0.00</v>
      </c>
      <c r="AC343" s="689"/>
    </row>
    <row r="344" spans="3:29" x14ac:dyDescent="0.2">
      <c r="C344" s="95">
        <v>280</v>
      </c>
      <c r="D344" s="101">
        <f t="shared" si="368"/>
        <v>0</v>
      </c>
      <c r="E344" s="101">
        <f t="shared" si="369"/>
        <v>0</v>
      </c>
      <c r="F344" s="101">
        <f t="shared" si="370"/>
        <v>0</v>
      </c>
      <c r="G344" s="688">
        <f t="shared" si="371"/>
        <v>0</v>
      </c>
      <c r="H344" s="689"/>
      <c r="J344" s="95">
        <v>280</v>
      </c>
      <c r="K344" s="96">
        <f t="shared" si="372"/>
        <v>0</v>
      </c>
      <c r="L344" s="96">
        <f t="shared" si="373"/>
        <v>0</v>
      </c>
      <c r="M344" s="96">
        <f t="shared" si="374"/>
        <v>0</v>
      </c>
      <c r="N344" s="688">
        <f t="shared" si="375"/>
        <v>0</v>
      </c>
      <c r="O344" s="689"/>
      <c r="Q344" s="95">
        <v>280</v>
      </c>
      <c r="R344" s="101">
        <f t="shared" si="376"/>
        <v>0</v>
      </c>
      <c r="S344" s="101">
        <f t="shared" si="377"/>
        <v>0</v>
      </c>
      <c r="T344" s="101">
        <f t="shared" si="378"/>
        <v>0</v>
      </c>
      <c r="U344" s="688">
        <f t="shared" si="379"/>
        <v>0</v>
      </c>
      <c r="V344" s="689"/>
      <c r="X344" s="95">
        <v>280</v>
      </c>
      <c r="Y344" s="101">
        <f t="shared" si="380"/>
        <v>0</v>
      </c>
      <c r="Z344" s="101">
        <f t="shared" si="381"/>
        <v>0</v>
      </c>
      <c r="AA344" s="101">
        <f t="shared" si="382"/>
        <v>0</v>
      </c>
      <c r="AB344" s="688">
        <f t="shared" si="383"/>
        <v>0</v>
      </c>
      <c r="AC344" s="689"/>
    </row>
    <row r="345" spans="3:29" x14ac:dyDescent="0.2">
      <c r="C345" s="95">
        <v>281</v>
      </c>
      <c r="D345" s="101" t="str">
        <f t="shared" si="368"/>
        <v>$0.00</v>
      </c>
      <c r="E345" s="101" t="str">
        <f t="shared" si="369"/>
        <v>$0.00</v>
      </c>
      <c r="F345" s="101" t="str">
        <f t="shared" si="370"/>
        <v>$0.00</v>
      </c>
      <c r="G345" s="688" t="str">
        <f t="shared" si="371"/>
        <v>$0.00</v>
      </c>
      <c r="H345" s="689"/>
      <c r="J345" s="95">
        <v>281</v>
      </c>
      <c r="K345" s="96">
        <f t="shared" si="372"/>
        <v>0</v>
      </c>
      <c r="L345" s="96">
        <f t="shared" si="373"/>
        <v>0</v>
      </c>
      <c r="M345" s="96">
        <f t="shared" si="374"/>
        <v>0</v>
      </c>
      <c r="N345" s="688">
        <f t="shared" si="375"/>
        <v>0</v>
      </c>
      <c r="O345" s="689"/>
      <c r="Q345" s="95">
        <v>281</v>
      </c>
      <c r="R345" s="101" t="str">
        <f t="shared" si="376"/>
        <v>$0.00</v>
      </c>
      <c r="S345" s="101" t="str">
        <f t="shared" si="377"/>
        <v>$0.00</v>
      </c>
      <c r="T345" s="101" t="str">
        <f t="shared" si="378"/>
        <v>$0.00</v>
      </c>
      <c r="U345" s="688" t="str">
        <f t="shared" si="379"/>
        <v>$0.00</v>
      </c>
      <c r="V345" s="689"/>
      <c r="X345" s="95">
        <v>281</v>
      </c>
      <c r="Y345" s="101" t="str">
        <f t="shared" si="380"/>
        <v>$0.00</v>
      </c>
      <c r="Z345" s="101" t="str">
        <f t="shared" si="381"/>
        <v>$0.00</v>
      </c>
      <c r="AA345" s="101" t="str">
        <f t="shared" si="382"/>
        <v>$0.00</v>
      </c>
      <c r="AB345" s="688" t="str">
        <f t="shared" si="383"/>
        <v>$0.00</v>
      </c>
      <c r="AC345" s="689"/>
    </row>
    <row r="346" spans="3:29" x14ac:dyDescent="0.2">
      <c r="C346" s="95">
        <v>282</v>
      </c>
      <c r="D346" s="101">
        <f t="shared" si="368"/>
        <v>0</v>
      </c>
      <c r="E346" s="101">
        <f t="shared" si="369"/>
        <v>0</v>
      </c>
      <c r="F346" s="101">
        <f t="shared" si="370"/>
        <v>0</v>
      </c>
      <c r="G346" s="688">
        <f t="shared" si="371"/>
        <v>0</v>
      </c>
      <c r="H346" s="689"/>
      <c r="J346" s="95">
        <v>282</v>
      </c>
      <c r="K346" s="96">
        <f t="shared" si="372"/>
        <v>0</v>
      </c>
      <c r="L346" s="96">
        <f t="shared" si="373"/>
        <v>0</v>
      </c>
      <c r="M346" s="96">
        <f t="shared" si="374"/>
        <v>0</v>
      </c>
      <c r="N346" s="688">
        <f t="shared" si="375"/>
        <v>0</v>
      </c>
      <c r="O346" s="689"/>
      <c r="Q346" s="95">
        <v>282</v>
      </c>
      <c r="R346" s="101">
        <f t="shared" si="376"/>
        <v>0</v>
      </c>
      <c r="S346" s="101">
        <f t="shared" si="377"/>
        <v>0</v>
      </c>
      <c r="T346" s="101">
        <f t="shared" si="378"/>
        <v>0</v>
      </c>
      <c r="U346" s="688">
        <f t="shared" si="379"/>
        <v>0</v>
      </c>
      <c r="V346" s="689"/>
      <c r="X346" s="95">
        <v>282</v>
      </c>
      <c r="Y346" s="101">
        <f t="shared" si="380"/>
        <v>0</v>
      </c>
      <c r="Z346" s="101">
        <f t="shared" si="381"/>
        <v>0</v>
      </c>
      <c r="AA346" s="101">
        <f t="shared" si="382"/>
        <v>0</v>
      </c>
      <c r="AB346" s="688">
        <f t="shared" si="383"/>
        <v>0</v>
      </c>
      <c r="AC346" s="689"/>
    </row>
    <row r="347" spans="3:29" x14ac:dyDescent="0.2">
      <c r="C347" s="95">
        <v>283</v>
      </c>
      <c r="D347" s="101" t="str">
        <f t="shared" si="368"/>
        <v>$0.00</v>
      </c>
      <c r="E347" s="101" t="str">
        <f t="shared" si="369"/>
        <v>$0.00</v>
      </c>
      <c r="F347" s="101" t="str">
        <f t="shared" si="370"/>
        <v>$0.00</v>
      </c>
      <c r="G347" s="688" t="str">
        <f t="shared" si="371"/>
        <v>$0.00</v>
      </c>
      <c r="H347" s="689"/>
      <c r="J347" s="95">
        <v>283</v>
      </c>
      <c r="K347" s="96">
        <f t="shared" si="372"/>
        <v>0</v>
      </c>
      <c r="L347" s="96">
        <f t="shared" si="373"/>
        <v>0</v>
      </c>
      <c r="M347" s="96">
        <f t="shared" si="374"/>
        <v>0</v>
      </c>
      <c r="N347" s="688">
        <f t="shared" si="375"/>
        <v>0</v>
      </c>
      <c r="O347" s="689"/>
      <c r="Q347" s="95">
        <v>283</v>
      </c>
      <c r="R347" s="101" t="str">
        <f t="shared" si="376"/>
        <v>$0.00</v>
      </c>
      <c r="S347" s="101" t="str">
        <f t="shared" si="377"/>
        <v>$0.00</v>
      </c>
      <c r="T347" s="101" t="str">
        <f t="shared" si="378"/>
        <v>$0.00</v>
      </c>
      <c r="U347" s="688" t="str">
        <f t="shared" si="379"/>
        <v>$0.00</v>
      </c>
      <c r="V347" s="689"/>
      <c r="X347" s="95">
        <v>283</v>
      </c>
      <c r="Y347" s="101" t="str">
        <f t="shared" si="380"/>
        <v>$0.00</v>
      </c>
      <c r="Z347" s="101" t="str">
        <f t="shared" si="381"/>
        <v>$0.00</v>
      </c>
      <c r="AA347" s="101" t="str">
        <f t="shared" si="382"/>
        <v>$0.00</v>
      </c>
      <c r="AB347" s="688" t="str">
        <f t="shared" si="383"/>
        <v>$0.00</v>
      </c>
      <c r="AC347" s="689"/>
    </row>
    <row r="348" spans="3:29" x14ac:dyDescent="0.2">
      <c r="C348" s="95">
        <v>284</v>
      </c>
      <c r="D348" s="101">
        <f t="shared" si="368"/>
        <v>0</v>
      </c>
      <c r="E348" s="101">
        <f t="shared" si="369"/>
        <v>0</v>
      </c>
      <c r="F348" s="101">
        <f t="shared" si="370"/>
        <v>0</v>
      </c>
      <c r="G348" s="688">
        <f t="shared" si="371"/>
        <v>0</v>
      </c>
      <c r="H348" s="689"/>
      <c r="J348" s="95">
        <v>284</v>
      </c>
      <c r="K348" s="96">
        <f t="shared" si="372"/>
        <v>0</v>
      </c>
      <c r="L348" s="96">
        <f t="shared" si="373"/>
        <v>0</v>
      </c>
      <c r="M348" s="96">
        <f t="shared" si="374"/>
        <v>0</v>
      </c>
      <c r="N348" s="688">
        <f t="shared" si="375"/>
        <v>0</v>
      </c>
      <c r="O348" s="689"/>
      <c r="Q348" s="95">
        <v>284</v>
      </c>
      <c r="R348" s="101">
        <f t="shared" si="376"/>
        <v>0</v>
      </c>
      <c r="S348" s="101">
        <f t="shared" si="377"/>
        <v>0</v>
      </c>
      <c r="T348" s="101">
        <f t="shared" si="378"/>
        <v>0</v>
      </c>
      <c r="U348" s="688">
        <f t="shared" si="379"/>
        <v>0</v>
      </c>
      <c r="V348" s="689"/>
      <c r="X348" s="95">
        <v>284</v>
      </c>
      <c r="Y348" s="101">
        <f t="shared" si="380"/>
        <v>0</v>
      </c>
      <c r="Z348" s="101">
        <f t="shared" si="381"/>
        <v>0</v>
      </c>
      <c r="AA348" s="101">
        <f t="shared" si="382"/>
        <v>0</v>
      </c>
      <c r="AB348" s="688">
        <f t="shared" si="383"/>
        <v>0</v>
      </c>
      <c r="AC348" s="689"/>
    </row>
    <row r="349" spans="3:29" x14ac:dyDescent="0.2">
      <c r="C349" s="95">
        <v>285</v>
      </c>
      <c r="D349" s="101" t="str">
        <f t="shared" si="368"/>
        <v>$0.00</v>
      </c>
      <c r="E349" s="101" t="str">
        <f t="shared" si="369"/>
        <v>$0.00</v>
      </c>
      <c r="F349" s="101" t="str">
        <f t="shared" si="370"/>
        <v>$0.00</v>
      </c>
      <c r="G349" s="688" t="str">
        <f t="shared" si="371"/>
        <v>$0.00</v>
      </c>
      <c r="H349" s="689"/>
      <c r="J349" s="95">
        <v>285</v>
      </c>
      <c r="K349" s="96">
        <f t="shared" si="372"/>
        <v>0</v>
      </c>
      <c r="L349" s="96">
        <f t="shared" si="373"/>
        <v>0</v>
      </c>
      <c r="M349" s="96">
        <f t="shared" si="374"/>
        <v>0</v>
      </c>
      <c r="N349" s="688">
        <f t="shared" si="375"/>
        <v>0</v>
      </c>
      <c r="O349" s="689"/>
      <c r="Q349" s="95">
        <v>285</v>
      </c>
      <c r="R349" s="101" t="str">
        <f t="shared" si="376"/>
        <v>$0.00</v>
      </c>
      <c r="S349" s="101" t="str">
        <f t="shared" si="377"/>
        <v>$0.00</v>
      </c>
      <c r="T349" s="101" t="str">
        <f t="shared" si="378"/>
        <v>$0.00</v>
      </c>
      <c r="U349" s="688" t="str">
        <f t="shared" si="379"/>
        <v>$0.00</v>
      </c>
      <c r="V349" s="689"/>
      <c r="X349" s="95">
        <v>285</v>
      </c>
      <c r="Y349" s="101" t="str">
        <f t="shared" si="380"/>
        <v>$0.00</v>
      </c>
      <c r="Z349" s="101" t="str">
        <f t="shared" si="381"/>
        <v>$0.00</v>
      </c>
      <c r="AA349" s="101" t="str">
        <f t="shared" si="382"/>
        <v>$0.00</v>
      </c>
      <c r="AB349" s="688" t="str">
        <f t="shared" si="383"/>
        <v>$0.00</v>
      </c>
      <c r="AC349" s="689"/>
    </row>
    <row r="350" spans="3:29" x14ac:dyDescent="0.2">
      <c r="C350" s="95">
        <v>286</v>
      </c>
      <c r="D350" s="101">
        <f t="shared" si="368"/>
        <v>0</v>
      </c>
      <c r="E350" s="101">
        <f t="shared" si="369"/>
        <v>0</v>
      </c>
      <c r="F350" s="101">
        <f t="shared" si="370"/>
        <v>0</v>
      </c>
      <c r="G350" s="688">
        <f t="shared" si="371"/>
        <v>0</v>
      </c>
      <c r="H350" s="689"/>
      <c r="J350" s="95">
        <v>286</v>
      </c>
      <c r="K350" s="96">
        <f t="shared" si="372"/>
        <v>0</v>
      </c>
      <c r="L350" s="96">
        <f t="shared" si="373"/>
        <v>0</v>
      </c>
      <c r="M350" s="96">
        <f t="shared" si="374"/>
        <v>0</v>
      </c>
      <c r="N350" s="688">
        <f t="shared" si="375"/>
        <v>0</v>
      </c>
      <c r="O350" s="689"/>
      <c r="Q350" s="95">
        <v>286</v>
      </c>
      <c r="R350" s="101">
        <f t="shared" si="376"/>
        <v>0</v>
      </c>
      <c r="S350" s="101">
        <f t="shared" si="377"/>
        <v>0</v>
      </c>
      <c r="T350" s="101">
        <f t="shared" si="378"/>
        <v>0</v>
      </c>
      <c r="U350" s="688">
        <f t="shared" si="379"/>
        <v>0</v>
      </c>
      <c r="V350" s="689"/>
      <c r="X350" s="95">
        <v>286</v>
      </c>
      <c r="Y350" s="101">
        <f t="shared" si="380"/>
        <v>0</v>
      </c>
      <c r="Z350" s="101">
        <f t="shared" si="381"/>
        <v>0</v>
      </c>
      <c r="AA350" s="101">
        <f t="shared" si="382"/>
        <v>0</v>
      </c>
      <c r="AB350" s="688">
        <f t="shared" si="383"/>
        <v>0</v>
      </c>
      <c r="AC350" s="689"/>
    </row>
    <row r="351" spans="3:29" x14ac:dyDescent="0.2">
      <c r="C351" s="95">
        <v>287</v>
      </c>
      <c r="D351" s="101" t="str">
        <f t="shared" si="368"/>
        <v>$0.00</v>
      </c>
      <c r="E351" s="101" t="str">
        <f t="shared" si="369"/>
        <v>$0.00</v>
      </c>
      <c r="F351" s="101" t="str">
        <f t="shared" si="370"/>
        <v>$0.00</v>
      </c>
      <c r="G351" s="688" t="str">
        <f t="shared" si="371"/>
        <v>$0.00</v>
      </c>
      <c r="H351" s="689"/>
      <c r="J351" s="95">
        <v>287</v>
      </c>
      <c r="K351" s="96">
        <f t="shared" si="372"/>
        <v>0</v>
      </c>
      <c r="L351" s="96">
        <f t="shared" si="373"/>
        <v>0</v>
      </c>
      <c r="M351" s="96">
        <f t="shared" si="374"/>
        <v>0</v>
      </c>
      <c r="N351" s="688">
        <f t="shared" si="375"/>
        <v>0</v>
      </c>
      <c r="O351" s="689"/>
      <c r="Q351" s="95">
        <v>287</v>
      </c>
      <c r="R351" s="101" t="str">
        <f t="shared" si="376"/>
        <v>$0.00</v>
      </c>
      <c r="S351" s="101" t="str">
        <f t="shared" si="377"/>
        <v>$0.00</v>
      </c>
      <c r="T351" s="101" t="str">
        <f t="shared" si="378"/>
        <v>$0.00</v>
      </c>
      <c r="U351" s="688" t="str">
        <f t="shared" si="379"/>
        <v>$0.00</v>
      </c>
      <c r="V351" s="689"/>
      <c r="X351" s="95">
        <v>287</v>
      </c>
      <c r="Y351" s="101" t="str">
        <f t="shared" si="380"/>
        <v>$0.00</v>
      </c>
      <c r="Z351" s="101" t="str">
        <f t="shared" si="381"/>
        <v>$0.00</v>
      </c>
      <c r="AA351" s="101" t="str">
        <f t="shared" si="382"/>
        <v>$0.00</v>
      </c>
      <c r="AB351" s="688" t="str">
        <f t="shared" si="383"/>
        <v>$0.00</v>
      </c>
      <c r="AC351" s="689"/>
    </row>
    <row r="352" spans="3:29" x14ac:dyDescent="0.2">
      <c r="C352" s="95">
        <v>288</v>
      </c>
      <c r="D352" s="101">
        <f t="shared" si="368"/>
        <v>0</v>
      </c>
      <c r="E352" s="101">
        <f t="shared" si="369"/>
        <v>0</v>
      </c>
      <c r="F352" s="101">
        <f t="shared" si="370"/>
        <v>0</v>
      </c>
      <c r="G352" s="690">
        <f t="shared" si="371"/>
        <v>0</v>
      </c>
      <c r="H352" s="691"/>
      <c r="J352" s="95">
        <v>288</v>
      </c>
      <c r="K352" s="96">
        <f t="shared" si="372"/>
        <v>0</v>
      </c>
      <c r="L352" s="96">
        <f t="shared" si="373"/>
        <v>0</v>
      </c>
      <c r="M352" s="96">
        <f t="shared" si="374"/>
        <v>0</v>
      </c>
      <c r="N352" s="690">
        <f t="shared" si="375"/>
        <v>0</v>
      </c>
      <c r="O352" s="691"/>
      <c r="Q352" s="95">
        <v>288</v>
      </c>
      <c r="R352" s="101">
        <f t="shared" si="376"/>
        <v>0</v>
      </c>
      <c r="S352" s="101">
        <f t="shared" si="377"/>
        <v>0</v>
      </c>
      <c r="T352" s="101">
        <f t="shared" si="378"/>
        <v>0</v>
      </c>
      <c r="U352" s="690">
        <f t="shared" si="379"/>
        <v>0</v>
      </c>
      <c r="V352" s="691"/>
      <c r="X352" s="95">
        <v>288</v>
      </c>
      <c r="Y352" s="101">
        <f t="shared" si="380"/>
        <v>0</v>
      </c>
      <c r="Z352" s="101">
        <f t="shared" si="381"/>
        <v>0</v>
      </c>
      <c r="AA352" s="101">
        <f t="shared" si="382"/>
        <v>0</v>
      </c>
      <c r="AB352" s="690">
        <f t="shared" si="383"/>
        <v>0</v>
      </c>
      <c r="AC352" s="691"/>
    </row>
    <row r="353" spans="3:29" x14ac:dyDescent="0.2">
      <c r="C353" s="97" t="s">
        <v>815</v>
      </c>
      <c r="D353" s="104">
        <f>SUM(D341:D352)</f>
        <v>0</v>
      </c>
      <c r="E353" s="104">
        <f>SUM(E341:E352)</f>
        <v>0</v>
      </c>
      <c r="F353" s="104">
        <f>SUM(F341:F352)</f>
        <v>0</v>
      </c>
      <c r="G353" s="692">
        <f>G352</f>
        <v>0</v>
      </c>
      <c r="H353" s="693"/>
      <c r="J353" s="97" t="s">
        <v>815</v>
      </c>
      <c r="K353" s="86">
        <f>SUM(K341:K352)</f>
        <v>0</v>
      </c>
      <c r="L353" s="86">
        <f>SUM(L341:L352)</f>
        <v>0</v>
      </c>
      <c r="M353" s="86">
        <f>SUM(M341:M352)</f>
        <v>0</v>
      </c>
      <c r="N353" s="692">
        <f>N352</f>
        <v>0</v>
      </c>
      <c r="O353" s="711"/>
      <c r="Q353" s="97" t="s">
        <v>815</v>
      </c>
      <c r="R353" s="104">
        <f>SUM(R341:R352)</f>
        <v>0</v>
      </c>
      <c r="S353" s="104">
        <f>SUM(S341:S352)</f>
        <v>0</v>
      </c>
      <c r="T353" s="104">
        <f>SUM(T341:T352)</f>
        <v>0</v>
      </c>
      <c r="U353" s="692">
        <f>U352</f>
        <v>0</v>
      </c>
      <c r="V353" s="693"/>
      <c r="X353" s="97" t="s">
        <v>815</v>
      </c>
      <c r="Y353" s="104">
        <f>SUM(Y341:Y352)</f>
        <v>0</v>
      </c>
      <c r="Z353" s="104">
        <f>SUM(Z341:Z352)</f>
        <v>0</v>
      </c>
      <c r="AA353" s="104">
        <f>SUM(AA341:AA352)</f>
        <v>0</v>
      </c>
      <c r="AB353" s="692">
        <f>AB352</f>
        <v>0</v>
      </c>
      <c r="AC353" s="693"/>
    </row>
    <row r="354" spans="3:29" x14ac:dyDescent="0.2">
      <c r="C354" s="95">
        <v>289</v>
      </c>
      <c r="D354" s="101" t="str">
        <f t="shared" ref="D354:D365" si="384">IF(G353&gt;0,G353*($E$36)/12,"$0.00")</f>
        <v>$0.00</v>
      </c>
      <c r="E354" s="101" t="str">
        <f t="shared" ref="E354:E365" si="385">IF(G353&gt;0,IF($E$38=4,"$0.00",IF($E$38=3,"$0.00",IF($E$38=2,"$0.00",+$G$39-D354))),"$0.00")</f>
        <v>$0.00</v>
      </c>
      <c r="F354" s="101" t="str">
        <f t="shared" ref="F354:F365" si="386">IF(G353=0,"$0.00",IF($E$38=4,"$0.00",IF($E$38=3,"$0.00",IF($E$38=2,D354,D354+E354))))</f>
        <v>$0.00</v>
      </c>
      <c r="G354" s="688" t="str">
        <f t="shared" ref="G354:G365" si="387">IF(G353=0,"$0.00",IF($E$38=4,G353+D354,IF($E$38=3,G353+D354,IF($E$38=2,G353,G353-E354))))</f>
        <v>$0.00</v>
      </c>
      <c r="H354" s="689"/>
      <c r="J354" s="95">
        <v>289</v>
      </c>
      <c r="K354" s="96">
        <f t="shared" ref="K354:K365" si="388">N353*($L$36)/12</f>
        <v>0</v>
      </c>
      <c r="L354" s="96">
        <f t="shared" ref="L354:L365" si="389">IF(L350=4,"$0.00",+$N$39-K354)</f>
        <v>0</v>
      </c>
      <c r="M354" s="96">
        <f t="shared" ref="M354:M365" si="390">IF(L350=4,"$0.00",K354+L354)</f>
        <v>0</v>
      </c>
      <c r="N354" s="709">
        <f t="shared" ref="N354:N365" si="391">IF(L350=4,N353+K354,N353-L354)</f>
        <v>0</v>
      </c>
      <c r="O354" s="710"/>
      <c r="Q354" s="95">
        <v>289</v>
      </c>
      <c r="R354" s="101" t="str">
        <f t="shared" ref="R354:R365" si="392">IF(U353&gt;0,U353*($S$36)/12,"$0.00")</f>
        <v>$0.00</v>
      </c>
      <c r="S354" s="101" t="str">
        <f t="shared" ref="S354:S365" si="393">IF(U353&gt;0,IF($S$38=4,"$0.00",IF($S$38=3,"$0.00",IF($S$38=2,"$0.00",+$U$39-R354))),"$0.00")</f>
        <v>$0.00</v>
      </c>
      <c r="T354" s="101" t="str">
        <f t="shared" ref="T354:T365" si="394">IF(U353=0,"$0.00",IF($S$38=4,"$0.00",IF($S$38=3,"$0.00",IF($S$38=2,R354,R354+S354))))</f>
        <v>$0.00</v>
      </c>
      <c r="U354" s="688" t="str">
        <f t="shared" ref="U354:U365" si="395">IF(U353=0,"$0.00",IF($S$38=4,U353+R354,IF($S$38=3,U353+R354,IF($S$38=2,U353,U353-S354))))</f>
        <v>$0.00</v>
      </c>
      <c r="V354" s="689"/>
      <c r="X354" s="95">
        <v>289</v>
      </c>
      <c r="Y354" s="101" t="str">
        <f t="shared" ref="Y354:Y365" si="396">IF(AB353&gt;0,AB353*($Z$36)/12,"$0.00")</f>
        <v>$0.00</v>
      </c>
      <c r="Z354" s="101" t="str">
        <f t="shared" ref="Z354:Z365" si="397">IF(AB353&gt;0,IF($Z$38=4,"$0.00",IF($Z$38=3,"$0.00",IF($Z$38=2,"$0.00",+$AB$39-Y354))),"$0.00")</f>
        <v>$0.00</v>
      </c>
      <c r="AA354" s="101" t="str">
        <f t="shared" ref="AA354:AA365" si="398">IF(AB353=0,"$0.00",IF($Z$38=4,"$0.00",IF($Z$38=3,"$0.00",IF($Z$38=2,Y354,Y354+Z354))))</f>
        <v>$0.00</v>
      </c>
      <c r="AB354" s="688" t="str">
        <f t="shared" ref="AB354:AB365" si="399">IF(AB353=0,"$0.00",IF($Z$38=4,AB353+Y354,IF($Z$38=3,AB353+Y354,IF($Z$38=2,AB353,AB353-Z354))))</f>
        <v>$0.00</v>
      </c>
      <c r="AC354" s="689"/>
    </row>
    <row r="355" spans="3:29" x14ac:dyDescent="0.2">
      <c r="C355" s="95">
        <v>290</v>
      </c>
      <c r="D355" s="101">
        <f t="shared" si="384"/>
        <v>0</v>
      </c>
      <c r="E355" s="101">
        <f t="shared" si="385"/>
        <v>0</v>
      </c>
      <c r="F355" s="101">
        <f t="shared" si="386"/>
        <v>0</v>
      </c>
      <c r="G355" s="688">
        <f t="shared" si="387"/>
        <v>0</v>
      </c>
      <c r="H355" s="689"/>
      <c r="J355" s="95">
        <v>290</v>
      </c>
      <c r="K355" s="96">
        <f t="shared" si="388"/>
        <v>0</v>
      </c>
      <c r="L355" s="96">
        <f t="shared" si="389"/>
        <v>0</v>
      </c>
      <c r="M355" s="96">
        <f t="shared" si="390"/>
        <v>0</v>
      </c>
      <c r="N355" s="688">
        <f t="shared" si="391"/>
        <v>0</v>
      </c>
      <c r="O355" s="689"/>
      <c r="Q355" s="95">
        <v>290</v>
      </c>
      <c r="R355" s="101">
        <f t="shared" si="392"/>
        <v>0</v>
      </c>
      <c r="S355" s="101">
        <f t="shared" si="393"/>
        <v>0</v>
      </c>
      <c r="T355" s="101">
        <f t="shared" si="394"/>
        <v>0</v>
      </c>
      <c r="U355" s="688">
        <f t="shared" si="395"/>
        <v>0</v>
      </c>
      <c r="V355" s="689"/>
      <c r="X355" s="95">
        <v>290</v>
      </c>
      <c r="Y355" s="101">
        <f t="shared" si="396"/>
        <v>0</v>
      </c>
      <c r="Z355" s="101">
        <f t="shared" si="397"/>
        <v>0</v>
      </c>
      <c r="AA355" s="101">
        <f t="shared" si="398"/>
        <v>0</v>
      </c>
      <c r="AB355" s="688">
        <f t="shared" si="399"/>
        <v>0</v>
      </c>
      <c r="AC355" s="689"/>
    </row>
    <row r="356" spans="3:29" x14ac:dyDescent="0.2">
      <c r="C356" s="95">
        <v>291</v>
      </c>
      <c r="D356" s="101" t="str">
        <f t="shared" si="384"/>
        <v>$0.00</v>
      </c>
      <c r="E356" s="101" t="str">
        <f t="shared" si="385"/>
        <v>$0.00</v>
      </c>
      <c r="F356" s="101" t="str">
        <f t="shared" si="386"/>
        <v>$0.00</v>
      </c>
      <c r="G356" s="688" t="str">
        <f t="shared" si="387"/>
        <v>$0.00</v>
      </c>
      <c r="H356" s="689"/>
      <c r="J356" s="95">
        <v>291</v>
      </c>
      <c r="K356" s="96">
        <f t="shared" si="388"/>
        <v>0</v>
      </c>
      <c r="L356" s="96">
        <f t="shared" si="389"/>
        <v>0</v>
      </c>
      <c r="M356" s="96">
        <f t="shared" si="390"/>
        <v>0</v>
      </c>
      <c r="N356" s="688">
        <f t="shared" si="391"/>
        <v>0</v>
      </c>
      <c r="O356" s="689"/>
      <c r="Q356" s="95">
        <v>291</v>
      </c>
      <c r="R356" s="101" t="str">
        <f t="shared" si="392"/>
        <v>$0.00</v>
      </c>
      <c r="S356" s="101" t="str">
        <f t="shared" si="393"/>
        <v>$0.00</v>
      </c>
      <c r="T356" s="101" t="str">
        <f t="shared" si="394"/>
        <v>$0.00</v>
      </c>
      <c r="U356" s="688" t="str">
        <f t="shared" si="395"/>
        <v>$0.00</v>
      </c>
      <c r="V356" s="689"/>
      <c r="X356" s="95">
        <v>291</v>
      </c>
      <c r="Y356" s="101" t="str">
        <f t="shared" si="396"/>
        <v>$0.00</v>
      </c>
      <c r="Z356" s="101" t="str">
        <f t="shared" si="397"/>
        <v>$0.00</v>
      </c>
      <c r="AA356" s="101" t="str">
        <f t="shared" si="398"/>
        <v>$0.00</v>
      </c>
      <c r="AB356" s="688" t="str">
        <f t="shared" si="399"/>
        <v>$0.00</v>
      </c>
      <c r="AC356" s="689"/>
    </row>
    <row r="357" spans="3:29" x14ac:dyDescent="0.2">
      <c r="C357" s="95">
        <v>292</v>
      </c>
      <c r="D357" s="101">
        <f t="shared" si="384"/>
        <v>0</v>
      </c>
      <c r="E357" s="101">
        <f t="shared" si="385"/>
        <v>0</v>
      </c>
      <c r="F357" s="101">
        <f t="shared" si="386"/>
        <v>0</v>
      </c>
      <c r="G357" s="688">
        <f t="shared" si="387"/>
        <v>0</v>
      </c>
      <c r="H357" s="689"/>
      <c r="J357" s="95">
        <v>292</v>
      </c>
      <c r="K357" s="96">
        <f t="shared" si="388"/>
        <v>0</v>
      </c>
      <c r="L357" s="96">
        <f t="shared" si="389"/>
        <v>0</v>
      </c>
      <c r="M357" s="96">
        <f t="shared" si="390"/>
        <v>0</v>
      </c>
      <c r="N357" s="688">
        <f t="shared" si="391"/>
        <v>0</v>
      </c>
      <c r="O357" s="689"/>
      <c r="Q357" s="95">
        <v>292</v>
      </c>
      <c r="R357" s="101">
        <f t="shared" si="392"/>
        <v>0</v>
      </c>
      <c r="S357" s="101">
        <f t="shared" si="393"/>
        <v>0</v>
      </c>
      <c r="T357" s="101">
        <f t="shared" si="394"/>
        <v>0</v>
      </c>
      <c r="U357" s="688">
        <f t="shared" si="395"/>
        <v>0</v>
      </c>
      <c r="V357" s="689"/>
      <c r="X357" s="95">
        <v>292</v>
      </c>
      <c r="Y357" s="101">
        <f t="shared" si="396"/>
        <v>0</v>
      </c>
      <c r="Z357" s="101">
        <f t="shared" si="397"/>
        <v>0</v>
      </c>
      <c r="AA357" s="101">
        <f t="shared" si="398"/>
        <v>0</v>
      </c>
      <c r="AB357" s="688">
        <f t="shared" si="399"/>
        <v>0</v>
      </c>
      <c r="AC357" s="689"/>
    </row>
    <row r="358" spans="3:29" x14ac:dyDescent="0.2">
      <c r="C358" s="95">
        <v>293</v>
      </c>
      <c r="D358" s="101" t="str">
        <f t="shared" si="384"/>
        <v>$0.00</v>
      </c>
      <c r="E358" s="101" t="str">
        <f t="shared" si="385"/>
        <v>$0.00</v>
      </c>
      <c r="F358" s="101" t="str">
        <f t="shared" si="386"/>
        <v>$0.00</v>
      </c>
      <c r="G358" s="688" t="str">
        <f t="shared" si="387"/>
        <v>$0.00</v>
      </c>
      <c r="H358" s="689"/>
      <c r="J358" s="95">
        <v>293</v>
      </c>
      <c r="K358" s="96">
        <f t="shared" si="388"/>
        <v>0</v>
      </c>
      <c r="L358" s="96">
        <f t="shared" si="389"/>
        <v>0</v>
      </c>
      <c r="M358" s="96">
        <f t="shared" si="390"/>
        <v>0</v>
      </c>
      <c r="N358" s="688">
        <f t="shared" si="391"/>
        <v>0</v>
      </c>
      <c r="O358" s="689"/>
      <c r="Q358" s="95">
        <v>293</v>
      </c>
      <c r="R358" s="101" t="str">
        <f t="shared" si="392"/>
        <v>$0.00</v>
      </c>
      <c r="S358" s="101" t="str">
        <f t="shared" si="393"/>
        <v>$0.00</v>
      </c>
      <c r="T358" s="101" t="str">
        <f t="shared" si="394"/>
        <v>$0.00</v>
      </c>
      <c r="U358" s="688" t="str">
        <f t="shared" si="395"/>
        <v>$0.00</v>
      </c>
      <c r="V358" s="689"/>
      <c r="X358" s="95">
        <v>293</v>
      </c>
      <c r="Y358" s="101" t="str">
        <f t="shared" si="396"/>
        <v>$0.00</v>
      </c>
      <c r="Z358" s="101" t="str">
        <f t="shared" si="397"/>
        <v>$0.00</v>
      </c>
      <c r="AA358" s="101" t="str">
        <f t="shared" si="398"/>
        <v>$0.00</v>
      </c>
      <c r="AB358" s="688" t="str">
        <f t="shared" si="399"/>
        <v>$0.00</v>
      </c>
      <c r="AC358" s="689"/>
    </row>
    <row r="359" spans="3:29" x14ac:dyDescent="0.2">
      <c r="C359" s="95">
        <v>294</v>
      </c>
      <c r="D359" s="101">
        <f t="shared" si="384"/>
        <v>0</v>
      </c>
      <c r="E359" s="101">
        <f t="shared" si="385"/>
        <v>0</v>
      </c>
      <c r="F359" s="101">
        <f t="shared" si="386"/>
        <v>0</v>
      </c>
      <c r="G359" s="688">
        <f t="shared" si="387"/>
        <v>0</v>
      </c>
      <c r="H359" s="689"/>
      <c r="J359" s="95">
        <v>294</v>
      </c>
      <c r="K359" s="96">
        <f t="shared" si="388"/>
        <v>0</v>
      </c>
      <c r="L359" s="96">
        <f t="shared" si="389"/>
        <v>0</v>
      </c>
      <c r="M359" s="96">
        <f t="shared" si="390"/>
        <v>0</v>
      </c>
      <c r="N359" s="688">
        <f t="shared" si="391"/>
        <v>0</v>
      </c>
      <c r="O359" s="689"/>
      <c r="Q359" s="95">
        <v>294</v>
      </c>
      <c r="R359" s="101">
        <f t="shared" si="392"/>
        <v>0</v>
      </c>
      <c r="S359" s="101">
        <f t="shared" si="393"/>
        <v>0</v>
      </c>
      <c r="T359" s="101">
        <f t="shared" si="394"/>
        <v>0</v>
      </c>
      <c r="U359" s="688">
        <f t="shared" si="395"/>
        <v>0</v>
      </c>
      <c r="V359" s="689"/>
      <c r="X359" s="95">
        <v>294</v>
      </c>
      <c r="Y359" s="101">
        <f t="shared" si="396"/>
        <v>0</v>
      </c>
      <c r="Z359" s="101">
        <f t="shared" si="397"/>
        <v>0</v>
      </c>
      <c r="AA359" s="101">
        <f t="shared" si="398"/>
        <v>0</v>
      </c>
      <c r="AB359" s="688">
        <f t="shared" si="399"/>
        <v>0</v>
      </c>
      <c r="AC359" s="689"/>
    </row>
    <row r="360" spans="3:29" x14ac:dyDescent="0.2">
      <c r="C360" s="95">
        <v>295</v>
      </c>
      <c r="D360" s="101" t="str">
        <f t="shared" si="384"/>
        <v>$0.00</v>
      </c>
      <c r="E360" s="101" t="str">
        <f t="shared" si="385"/>
        <v>$0.00</v>
      </c>
      <c r="F360" s="101" t="str">
        <f t="shared" si="386"/>
        <v>$0.00</v>
      </c>
      <c r="G360" s="688" t="str">
        <f t="shared" si="387"/>
        <v>$0.00</v>
      </c>
      <c r="H360" s="689"/>
      <c r="J360" s="95">
        <v>295</v>
      </c>
      <c r="K360" s="96">
        <f t="shared" si="388"/>
        <v>0</v>
      </c>
      <c r="L360" s="96">
        <f t="shared" si="389"/>
        <v>0</v>
      </c>
      <c r="M360" s="96">
        <f t="shared" si="390"/>
        <v>0</v>
      </c>
      <c r="N360" s="688">
        <f t="shared" si="391"/>
        <v>0</v>
      </c>
      <c r="O360" s="689"/>
      <c r="Q360" s="95">
        <v>295</v>
      </c>
      <c r="R360" s="101" t="str">
        <f t="shared" si="392"/>
        <v>$0.00</v>
      </c>
      <c r="S360" s="101" t="str">
        <f t="shared" si="393"/>
        <v>$0.00</v>
      </c>
      <c r="T360" s="101" t="str">
        <f t="shared" si="394"/>
        <v>$0.00</v>
      </c>
      <c r="U360" s="688" t="str">
        <f t="shared" si="395"/>
        <v>$0.00</v>
      </c>
      <c r="V360" s="689"/>
      <c r="X360" s="95">
        <v>295</v>
      </c>
      <c r="Y360" s="101" t="str">
        <f t="shared" si="396"/>
        <v>$0.00</v>
      </c>
      <c r="Z360" s="101" t="str">
        <f t="shared" si="397"/>
        <v>$0.00</v>
      </c>
      <c r="AA360" s="101" t="str">
        <f t="shared" si="398"/>
        <v>$0.00</v>
      </c>
      <c r="AB360" s="688" t="str">
        <f t="shared" si="399"/>
        <v>$0.00</v>
      </c>
      <c r="AC360" s="689"/>
    </row>
    <row r="361" spans="3:29" x14ac:dyDescent="0.2">
      <c r="C361" s="95">
        <v>296</v>
      </c>
      <c r="D361" s="101">
        <f t="shared" si="384"/>
        <v>0</v>
      </c>
      <c r="E361" s="101">
        <f t="shared" si="385"/>
        <v>0</v>
      </c>
      <c r="F361" s="101">
        <f t="shared" si="386"/>
        <v>0</v>
      </c>
      <c r="G361" s="688">
        <f t="shared" si="387"/>
        <v>0</v>
      </c>
      <c r="H361" s="689"/>
      <c r="J361" s="95">
        <v>296</v>
      </c>
      <c r="K361" s="96">
        <f t="shared" si="388"/>
        <v>0</v>
      </c>
      <c r="L361" s="96">
        <f t="shared" si="389"/>
        <v>0</v>
      </c>
      <c r="M361" s="96">
        <f t="shared" si="390"/>
        <v>0</v>
      </c>
      <c r="N361" s="688">
        <f t="shared" si="391"/>
        <v>0</v>
      </c>
      <c r="O361" s="689"/>
      <c r="Q361" s="95">
        <v>296</v>
      </c>
      <c r="R361" s="101">
        <f t="shared" si="392"/>
        <v>0</v>
      </c>
      <c r="S361" s="101">
        <f t="shared" si="393"/>
        <v>0</v>
      </c>
      <c r="T361" s="101">
        <f t="shared" si="394"/>
        <v>0</v>
      </c>
      <c r="U361" s="688">
        <f t="shared" si="395"/>
        <v>0</v>
      </c>
      <c r="V361" s="689"/>
      <c r="X361" s="95">
        <v>296</v>
      </c>
      <c r="Y361" s="101">
        <f t="shared" si="396"/>
        <v>0</v>
      </c>
      <c r="Z361" s="101">
        <f t="shared" si="397"/>
        <v>0</v>
      </c>
      <c r="AA361" s="101">
        <f t="shared" si="398"/>
        <v>0</v>
      </c>
      <c r="AB361" s="688">
        <f t="shared" si="399"/>
        <v>0</v>
      </c>
      <c r="AC361" s="689"/>
    </row>
    <row r="362" spans="3:29" x14ac:dyDescent="0.2">
      <c r="C362" s="95">
        <v>297</v>
      </c>
      <c r="D362" s="101" t="str">
        <f t="shared" si="384"/>
        <v>$0.00</v>
      </c>
      <c r="E362" s="101" t="str">
        <f t="shared" si="385"/>
        <v>$0.00</v>
      </c>
      <c r="F362" s="101" t="str">
        <f t="shared" si="386"/>
        <v>$0.00</v>
      </c>
      <c r="G362" s="688" t="str">
        <f t="shared" si="387"/>
        <v>$0.00</v>
      </c>
      <c r="H362" s="689"/>
      <c r="J362" s="95">
        <v>297</v>
      </c>
      <c r="K362" s="96">
        <f t="shared" si="388"/>
        <v>0</v>
      </c>
      <c r="L362" s="96">
        <f t="shared" si="389"/>
        <v>0</v>
      </c>
      <c r="M362" s="96">
        <f t="shared" si="390"/>
        <v>0</v>
      </c>
      <c r="N362" s="688">
        <f t="shared" si="391"/>
        <v>0</v>
      </c>
      <c r="O362" s="689"/>
      <c r="Q362" s="95">
        <v>297</v>
      </c>
      <c r="R362" s="101" t="str">
        <f t="shared" si="392"/>
        <v>$0.00</v>
      </c>
      <c r="S362" s="101" t="str">
        <f t="shared" si="393"/>
        <v>$0.00</v>
      </c>
      <c r="T362" s="101" t="str">
        <f t="shared" si="394"/>
        <v>$0.00</v>
      </c>
      <c r="U362" s="688" t="str">
        <f t="shared" si="395"/>
        <v>$0.00</v>
      </c>
      <c r="V362" s="689"/>
      <c r="X362" s="95">
        <v>297</v>
      </c>
      <c r="Y362" s="101" t="str">
        <f t="shared" si="396"/>
        <v>$0.00</v>
      </c>
      <c r="Z362" s="101" t="str">
        <f t="shared" si="397"/>
        <v>$0.00</v>
      </c>
      <c r="AA362" s="101" t="str">
        <f t="shared" si="398"/>
        <v>$0.00</v>
      </c>
      <c r="AB362" s="688" t="str">
        <f t="shared" si="399"/>
        <v>$0.00</v>
      </c>
      <c r="AC362" s="689"/>
    </row>
    <row r="363" spans="3:29" x14ac:dyDescent="0.2">
      <c r="C363" s="95">
        <v>298</v>
      </c>
      <c r="D363" s="101">
        <f t="shared" si="384"/>
        <v>0</v>
      </c>
      <c r="E363" s="101">
        <f t="shared" si="385"/>
        <v>0</v>
      </c>
      <c r="F363" s="101">
        <f t="shared" si="386"/>
        <v>0</v>
      </c>
      <c r="G363" s="688">
        <f t="shared" si="387"/>
        <v>0</v>
      </c>
      <c r="H363" s="689"/>
      <c r="J363" s="95">
        <v>298</v>
      </c>
      <c r="K363" s="96">
        <f t="shared" si="388"/>
        <v>0</v>
      </c>
      <c r="L363" s="96">
        <f t="shared" si="389"/>
        <v>0</v>
      </c>
      <c r="M363" s="96">
        <f t="shared" si="390"/>
        <v>0</v>
      </c>
      <c r="N363" s="688">
        <f t="shared" si="391"/>
        <v>0</v>
      </c>
      <c r="O363" s="689"/>
      <c r="Q363" s="95">
        <v>298</v>
      </c>
      <c r="R363" s="101">
        <f t="shared" si="392"/>
        <v>0</v>
      </c>
      <c r="S363" s="101">
        <f t="shared" si="393"/>
        <v>0</v>
      </c>
      <c r="T363" s="101">
        <f t="shared" si="394"/>
        <v>0</v>
      </c>
      <c r="U363" s="688">
        <f t="shared" si="395"/>
        <v>0</v>
      </c>
      <c r="V363" s="689"/>
      <c r="X363" s="95">
        <v>298</v>
      </c>
      <c r="Y363" s="101">
        <f t="shared" si="396"/>
        <v>0</v>
      </c>
      <c r="Z363" s="101">
        <f t="shared" si="397"/>
        <v>0</v>
      </c>
      <c r="AA363" s="101">
        <f t="shared" si="398"/>
        <v>0</v>
      </c>
      <c r="AB363" s="688">
        <f t="shared" si="399"/>
        <v>0</v>
      </c>
      <c r="AC363" s="689"/>
    </row>
    <row r="364" spans="3:29" x14ac:dyDescent="0.2">
      <c r="C364" s="95">
        <v>299</v>
      </c>
      <c r="D364" s="101" t="str">
        <f t="shared" si="384"/>
        <v>$0.00</v>
      </c>
      <c r="E364" s="101" t="str">
        <f t="shared" si="385"/>
        <v>$0.00</v>
      </c>
      <c r="F364" s="101" t="str">
        <f t="shared" si="386"/>
        <v>$0.00</v>
      </c>
      <c r="G364" s="688" t="str">
        <f t="shared" si="387"/>
        <v>$0.00</v>
      </c>
      <c r="H364" s="689"/>
      <c r="J364" s="95">
        <v>299</v>
      </c>
      <c r="K364" s="96">
        <f t="shared" si="388"/>
        <v>0</v>
      </c>
      <c r="L364" s="96">
        <f t="shared" si="389"/>
        <v>0</v>
      </c>
      <c r="M364" s="96">
        <f t="shared" si="390"/>
        <v>0</v>
      </c>
      <c r="N364" s="688">
        <f t="shared" si="391"/>
        <v>0</v>
      </c>
      <c r="O364" s="689"/>
      <c r="Q364" s="95">
        <v>299</v>
      </c>
      <c r="R364" s="101" t="str">
        <f t="shared" si="392"/>
        <v>$0.00</v>
      </c>
      <c r="S364" s="101" t="str">
        <f t="shared" si="393"/>
        <v>$0.00</v>
      </c>
      <c r="T364" s="101" t="str">
        <f t="shared" si="394"/>
        <v>$0.00</v>
      </c>
      <c r="U364" s="688" t="str">
        <f t="shared" si="395"/>
        <v>$0.00</v>
      </c>
      <c r="V364" s="689"/>
      <c r="X364" s="95">
        <v>299</v>
      </c>
      <c r="Y364" s="101" t="str">
        <f t="shared" si="396"/>
        <v>$0.00</v>
      </c>
      <c r="Z364" s="101" t="str">
        <f t="shared" si="397"/>
        <v>$0.00</v>
      </c>
      <c r="AA364" s="101" t="str">
        <f t="shared" si="398"/>
        <v>$0.00</v>
      </c>
      <c r="AB364" s="688" t="str">
        <f t="shared" si="399"/>
        <v>$0.00</v>
      </c>
      <c r="AC364" s="689"/>
    </row>
    <row r="365" spans="3:29" x14ac:dyDescent="0.2">
      <c r="C365" s="95">
        <v>300</v>
      </c>
      <c r="D365" s="101">
        <f t="shared" si="384"/>
        <v>0</v>
      </c>
      <c r="E365" s="101">
        <f t="shared" si="385"/>
        <v>0</v>
      </c>
      <c r="F365" s="101">
        <f t="shared" si="386"/>
        <v>0</v>
      </c>
      <c r="G365" s="690">
        <f t="shared" si="387"/>
        <v>0</v>
      </c>
      <c r="H365" s="691"/>
      <c r="J365" s="95">
        <v>300</v>
      </c>
      <c r="K365" s="96">
        <f t="shared" si="388"/>
        <v>0</v>
      </c>
      <c r="L365" s="96">
        <f t="shared" si="389"/>
        <v>0</v>
      </c>
      <c r="M365" s="96">
        <f t="shared" si="390"/>
        <v>0</v>
      </c>
      <c r="N365" s="690">
        <f t="shared" si="391"/>
        <v>0</v>
      </c>
      <c r="O365" s="691"/>
      <c r="Q365" s="95">
        <v>300</v>
      </c>
      <c r="R365" s="101">
        <f t="shared" si="392"/>
        <v>0</v>
      </c>
      <c r="S365" s="101">
        <f t="shared" si="393"/>
        <v>0</v>
      </c>
      <c r="T365" s="101">
        <f t="shared" si="394"/>
        <v>0</v>
      </c>
      <c r="U365" s="690">
        <f t="shared" si="395"/>
        <v>0</v>
      </c>
      <c r="V365" s="691"/>
      <c r="X365" s="95">
        <v>300</v>
      </c>
      <c r="Y365" s="101">
        <f t="shared" si="396"/>
        <v>0</v>
      </c>
      <c r="Z365" s="101">
        <f t="shared" si="397"/>
        <v>0</v>
      </c>
      <c r="AA365" s="101">
        <f t="shared" si="398"/>
        <v>0</v>
      </c>
      <c r="AB365" s="690">
        <f t="shared" si="399"/>
        <v>0</v>
      </c>
      <c r="AC365" s="691"/>
    </row>
    <row r="366" spans="3:29" x14ac:dyDescent="0.2">
      <c r="C366" s="97" t="s">
        <v>816</v>
      </c>
      <c r="D366" s="104">
        <f>SUM(D354:D365)</f>
        <v>0</v>
      </c>
      <c r="E366" s="104">
        <f>SUM(E354:E365)</f>
        <v>0</v>
      </c>
      <c r="F366" s="104">
        <f>SUM(F354:F365)</f>
        <v>0</v>
      </c>
      <c r="G366" s="692">
        <f>G365</f>
        <v>0</v>
      </c>
      <c r="H366" s="693"/>
      <c r="J366" s="97" t="s">
        <v>816</v>
      </c>
      <c r="K366" s="86">
        <f>SUM(K354:K365)</f>
        <v>0</v>
      </c>
      <c r="L366" s="86">
        <f>SUM(L354:L365)</f>
        <v>0</v>
      </c>
      <c r="M366" s="86">
        <f>SUM(M354:M365)</f>
        <v>0</v>
      </c>
      <c r="N366" s="692">
        <f>N365</f>
        <v>0</v>
      </c>
      <c r="O366" s="711"/>
      <c r="Q366" s="97" t="s">
        <v>816</v>
      </c>
      <c r="R366" s="104">
        <f>SUM(R354:R365)</f>
        <v>0</v>
      </c>
      <c r="S366" s="104">
        <f>SUM(S354:S365)</f>
        <v>0</v>
      </c>
      <c r="T366" s="104">
        <f>SUM(T354:T365)</f>
        <v>0</v>
      </c>
      <c r="U366" s="692">
        <f>U365</f>
        <v>0</v>
      </c>
      <c r="V366" s="693"/>
      <c r="X366" s="97" t="s">
        <v>816</v>
      </c>
      <c r="Y366" s="104">
        <f>SUM(Y354:Y365)</f>
        <v>0</v>
      </c>
      <c r="Z366" s="104">
        <f>SUM(Z354:Z365)</f>
        <v>0</v>
      </c>
      <c r="AA366" s="104">
        <f>SUM(AA354:AA365)</f>
        <v>0</v>
      </c>
      <c r="AB366" s="692">
        <f>AB365</f>
        <v>0</v>
      </c>
      <c r="AC366" s="693"/>
    </row>
    <row r="367" spans="3:29" x14ac:dyDescent="0.2">
      <c r="C367" s="95">
        <v>301</v>
      </c>
      <c r="D367" s="101" t="str">
        <f t="shared" ref="D367:D378" si="400">IF(G366&gt;0,G366*($E$36)/12,"$0.00")</f>
        <v>$0.00</v>
      </c>
      <c r="E367" s="101" t="str">
        <f t="shared" ref="E367:E378" si="401">IF(G366&gt;0,IF($E$38=4,"$0.00",IF($E$38=3,"$0.00",IF($E$38=2,"$0.00",+$G$39-D367))),"$0.00")</f>
        <v>$0.00</v>
      </c>
      <c r="F367" s="101" t="str">
        <f t="shared" ref="F367:F378" si="402">IF(G366=0,"$0.00",IF($E$38=4,"$0.00",IF($E$38=3,"$0.00",IF($E$38=2,D367,D367+E367))))</f>
        <v>$0.00</v>
      </c>
      <c r="G367" s="688" t="str">
        <f t="shared" ref="G367:G378" si="403">IF(G366=0,"$0.00",IF($E$38=4,G366+D367,IF($E$38=3,G366+D367,IF($E$38=2,G366,G366-E367))))</f>
        <v>$0.00</v>
      </c>
      <c r="H367" s="689"/>
      <c r="J367" s="95">
        <v>301</v>
      </c>
      <c r="K367" s="96">
        <f t="shared" ref="K367:K378" si="404">N366*($L$36)/12</f>
        <v>0</v>
      </c>
      <c r="L367" s="96">
        <f t="shared" ref="L367:L378" si="405">IF(L363=4,"$0.00",+$N$39-K367)</f>
        <v>0</v>
      </c>
      <c r="M367" s="96">
        <f t="shared" ref="M367:M378" si="406">IF(L363=4,"$0.00",K367+L367)</f>
        <v>0</v>
      </c>
      <c r="N367" s="709">
        <f t="shared" ref="N367:N378" si="407">IF(L363=4,N366+K367,N366-L367)</f>
        <v>0</v>
      </c>
      <c r="O367" s="710"/>
      <c r="Q367" s="95">
        <v>301</v>
      </c>
      <c r="R367" s="101" t="str">
        <f t="shared" ref="R367:R378" si="408">IF(U366&gt;0,U366*($S$36)/12,"$0.00")</f>
        <v>$0.00</v>
      </c>
      <c r="S367" s="101" t="str">
        <f t="shared" ref="S367:S378" si="409">IF(U366&gt;0,IF($S$38=4,"$0.00",IF($S$38=3,"$0.00",IF($S$38=2,"$0.00",+$U$39-R367))),"$0.00")</f>
        <v>$0.00</v>
      </c>
      <c r="T367" s="101" t="str">
        <f t="shared" ref="T367:T378" si="410">IF(U366=0,"$0.00",IF($S$38=4,"$0.00",IF($S$38=3,"$0.00",IF($S$38=2,R367,R367+S367))))</f>
        <v>$0.00</v>
      </c>
      <c r="U367" s="688" t="str">
        <f t="shared" ref="U367:U378" si="411">IF(U366=0,"$0.00",IF($S$38=4,U366+R367,IF($S$38=3,U366+R367,IF($S$38=2,U366,U366-S367))))</f>
        <v>$0.00</v>
      </c>
      <c r="V367" s="689"/>
      <c r="X367" s="95">
        <v>301</v>
      </c>
      <c r="Y367" s="101" t="str">
        <f t="shared" ref="Y367:Y378" si="412">IF(AB366&gt;0,AB366*($Z$36)/12,"$0.00")</f>
        <v>$0.00</v>
      </c>
      <c r="Z367" s="101" t="str">
        <f t="shared" ref="Z367:Z378" si="413">IF(AB366&gt;0,IF($Z$38=4,"$0.00",IF($Z$38=3,"$0.00",IF($Z$38=2,"$0.00",+$AB$39-Y367))),"$0.00")</f>
        <v>$0.00</v>
      </c>
      <c r="AA367" s="101" t="str">
        <f t="shared" ref="AA367:AA378" si="414">IF(AB366=0,"$0.00",IF($Z$38=4,"$0.00",IF($Z$38=3,"$0.00",IF($Z$38=2,Y367,Y367+Z367))))</f>
        <v>$0.00</v>
      </c>
      <c r="AB367" s="688" t="str">
        <f t="shared" ref="AB367:AB378" si="415">IF(AB366=0,"$0.00",IF($Z$38=4,AB366+Y367,IF($Z$38=3,AB366+Y367,IF($Z$38=2,AB366,AB366-Z367))))</f>
        <v>$0.00</v>
      </c>
      <c r="AC367" s="689"/>
    </row>
    <row r="368" spans="3:29" x14ac:dyDescent="0.2">
      <c r="C368" s="95">
        <v>302</v>
      </c>
      <c r="D368" s="101">
        <f t="shared" si="400"/>
        <v>0</v>
      </c>
      <c r="E368" s="101">
        <f t="shared" si="401"/>
        <v>0</v>
      </c>
      <c r="F368" s="101">
        <f t="shared" si="402"/>
        <v>0</v>
      </c>
      <c r="G368" s="688">
        <f t="shared" si="403"/>
        <v>0</v>
      </c>
      <c r="H368" s="689"/>
      <c r="J368" s="95">
        <v>302</v>
      </c>
      <c r="K368" s="96">
        <f t="shared" si="404"/>
        <v>0</v>
      </c>
      <c r="L368" s="96">
        <f t="shared" si="405"/>
        <v>0</v>
      </c>
      <c r="M368" s="96">
        <f t="shared" si="406"/>
        <v>0</v>
      </c>
      <c r="N368" s="688">
        <f t="shared" si="407"/>
        <v>0</v>
      </c>
      <c r="O368" s="689"/>
      <c r="Q368" s="95">
        <v>302</v>
      </c>
      <c r="R368" s="101">
        <f t="shared" si="408"/>
        <v>0</v>
      </c>
      <c r="S368" s="101">
        <f t="shared" si="409"/>
        <v>0</v>
      </c>
      <c r="T368" s="101">
        <f t="shared" si="410"/>
        <v>0</v>
      </c>
      <c r="U368" s="688">
        <f t="shared" si="411"/>
        <v>0</v>
      </c>
      <c r="V368" s="689"/>
      <c r="X368" s="95">
        <v>302</v>
      </c>
      <c r="Y368" s="101">
        <f t="shared" si="412"/>
        <v>0</v>
      </c>
      <c r="Z368" s="101">
        <f t="shared" si="413"/>
        <v>0</v>
      </c>
      <c r="AA368" s="101">
        <f t="shared" si="414"/>
        <v>0</v>
      </c>
      <c r="AB368" s="688">
        <f t="shared" si="415"/>
        <v>0</v>
      </c>
      <c r="AC368" s="689"/>
    </row>
    <row r="369" spans="3:29" x14ac:dyDescent="0.2">
      <c r="C369" s="95">
        <v>303</v>
      </c>
      <c r="D369" s="101" t="str">
        <f t="shared" si="400"/>
        <v>$0.00</v>
      </c>
      <c r="E369" s="101" t="str">
        <f t="shared" si="401"/>
        <v>$0.00</v>
      </c>
      <c r="F369" s="101" t="str">
        <f t="shared" si="402"/>
        <v>$0.00</v>
      </c>
      <c r="G369" s="688" t="str">
        <f t="shared" si="403"/>
        <v>$0.00</v>
      </c>
      <c r="H369" s="689"/>
      <c r="J369" s="95">
        <v>303</v>
      </c>
      <c r="K369" s="96">
        <f t="shared" si="404"/>
        <v>0</v>
      </c>
      <c r="L369" s="96">
        <f t="shared" si="405"/>
        <v>0</v>
      </c>
      <c r="M369" s="96">
        <f t="shared" si="406"/>
        <v>0</v>
      </c>
      <c r="N369" s="688">
        <f t="shared" si="407"/>
        <v>0</v>
      </c>
      <c r="O369" s="689"/>
      <c r="Q369" s="95">
        <v>303</v>
      </c>
      <c r="R369" s="101" t="str">
        <f t="shared" si="408"/>
        <v>$0.00</v>
      </c>
      <c r="S369" s="101" t="str">
        <f t="shared" si="409"/>
        <v>$0.00</v>
      </c>
      <c r="T369" s="101" t="str">
        <f t="shared" si="410"/>
        <v>$0.00</v>
      </c>
      <c r="U369" s="688" t="str">
        <f t="shared" si="411"/>
        <v>$0.00</v>
      </c>
      <c r="V369" s="689"/>
      <c r="X369" s="95">
        <v>303</v>
      </c>
      <c r="Y369" s="101" t="str">
        <f t="shared" si="412"/>
        <v>$0.00</v>
      </c>
      <c r="Z369" s="101" t="str">
        <f t="shared" si="413"/>
        <v>$0.00</v>
      </c>
      <c r="AA369" s="101" t="str">
        <f t="shared" si="414"/>
        <v>$0.00</v>
      </c>
      <c r="AB369" s="688" t="str">
        <f t="shared" si="415"/>
        <v>$0.00</v>
      </c>
      <c r="AC369" s="689"/>
    </row>
    <row r="370" spans="3:29" x14ac:dyDescent="0.2">
      <c r="C370" s="95">
        <v>304</v>
      </c>
      <c r="D370" s="101">
        <f t="shared" si="400"/>
        <v>0</v>
      </c>
      <c r="E370" s="101">
        <f t="shared" si="401"/>
        <v>0</v>
      </c>
      <c r="F370" s="101">
        <f t="shared" si="402"/>
        <v>0</v>
      </c>
      <c r="G370" s="688">
        <f t="shared" si="403"/>
        <v>0</v>
      </c>
      <c r="H370" s="689"/>
      <c r="J370" s="95">
        <v>304</v>
      </c>
      <c r="K370" s="96">
        <f t="shared" si="404"/>
        <v>0</v>
      </c>
      <c r="L370" s="96">
        <f t="shared" si="405"/>
        <v>0</v>
      </c>
      <c r="M370" s="96">
        <f t="shared" si="406"/>
        <v>0</v>
      </c>
      <c r="N370" s="688">
        <f t="shared" si="407"/>
        <v>0</v>
      </c>
      <c r="O370" s="689"/>
      <c r="Q370" s="95">
        <v>304</v>
      </c>
      <c r="R370" s="101">
        <f t="shared" si="408"/>
        <v>0</v>
      </c>
      <c r="S370" s="101">
        <f t="shared" si="409"/>
        <v>0</v>
      </c>
      <c r="T370" s="101">
        <f t="shared" si="410"/>
        <v>0</v>
      </c>
      <c r="U370" s="688">
        <f t="shared" si="411"/>
        <v>0</v>
      </c>
      <c r="V370" s="689"/>
      <c r="X370" s="95">
        <v>304</v>
      </c>
      <c r="Y370" s="101">
        <f t="shared" si="412"/>
        <v>0</v>
      </c>
      <c r="Z370" s="101">
        <f t="shared" si="413"/>
        <v>0</v>
      </c>
      <c r="AA370" s="101">
        <f t="shared" si="414"/>
        <v>0</v>
      </c>
      <c r="AB370" s="688">
        <f t="shared" si="415"/>
        <v>0</v>
      </c>
      <c r="AC370" s="689"/>
    </row>
    <row r="371" spans="3:29" x14ac:dyDescent="0.2">
      <c r="C371" s="95">
        <v>305</v>
      </c>
      <c r="D371" s="101" t="str">
        <f t="shared" si="400"/>
        <v>$0.00</v>
      </c>
      <c r="E371" s="101" t="str">
        <f t="shared" si="401"/>
        <v>$0.00</v>
      </c>
      <c r="F371" s="101" t="str">
        <f t="shared" si="402"/>
        <v>$0.00</v>
      </c>
      <c r="G371" s="688" t="str">
        <f t="shared" si="403"/>
        <v>$0.00</v>
      </c>
      <c r="H371" s="689"/>
      <c r="J371" s="95">
        <v>305</v>
      </c>
      <c r="K371" s="96">
        <f t="shared" si="404"/>
        <v>0</v>
      </c>
      <c r="L371" s="96">
        <f t="shared" si="405"/>
        <v>0</v>
      </c>
      <c r="M371" s="96">
        <f t="shared" si="406"/>
        <v>0</v>
      </c>
      <c r="N371" s="688">
        <f t="shared" si="407"/>
        <v>0</v>
      </c>
      <c r="O371" s="689"/>
      <c r="Q371" s="95">
        <v>305</v>
      </c>
      <c r="R371" s="101" t="str">
        <f t="shared" si="408"/>
        <v>$0.00</v>
      </c>
      <c r="S371" s="101" t="str">
        <f t="shared" si="409"/>
        <v>$0.00</v>
      </c>
      <c r="T371" s="101" t="str">
        <f t="shared" si="410"/>
        <v>$0.00</v>
      </c>
      <c r="U371" s="688" t="str">
        <f t="shared" si="411"/>
        <v>$0.00</v>
      </c>
      <c r="V371" s="689"/>
      <c r="X371" s="95">
        <v>305</v>
      </c>
      <c r="Y371" s="101" t="str">
        <f t="shared" si="412"/>
        <v>$0.00</v>
      </c>
      <c r="Z371" s="101" t="str">
        <f t="shared" si="413"/>
        <v>$0.00</v>
      </c>
      <c r="AA371" s="101" t="str">
        <f t="shared" si="414"/>
        <v>$0.00</v>
      </c>
      <c r="AB371" s="688" t="str">
        <f t="shared" si="415"/>
        <v>$0.00</v>
      </c>
      <c r="AC371" s="689"/>
    </row>
    <row r="372" spans="3:29" x14ac:dyDescent="0.2">
      <c r="C372" s="95">
        <v>306</v>
      </c>
      <c r="D372" s="101">
        <f t="shared" si="400"/>
        <v>0</v>
      </c>
      <c r="E372" s="101">
        <f t="shared" si="401"/>
        <v>0</v>
      </c>
      <c r="F372" s="101">
        <f t="shared" si="402"/>
        <v>0</v>
      </c>
      <c r="G372" s="688">
        <f t="shared" si="403"/>
        <v>0</v>
      </c>
      <c r="H372" s="689"/>
      <c r="J372" s="95">
        <v>306</v>
      </c>
      <c r="K372" s="96">
        <f t="shared" si="404"/>
        <v>0</v>
      </c>
      <c r="L372" s="96">
        <f t="shared" si="405"/>
        <v>0</v>
      </c>
      <c r="M372" s="96">
        <f t="shared" si="406"/>
        <v>0</v>
      </c>
      <c r="N372" s="688">
        <f t="shared" si="407"/>
        <v>0</v>
      </c>
      <c r="O372" s="689"/>
      <c r="Q372" s="95">
        <v>306</v>
      </c>
      <c r="R372" s="101">
        <f t="shared" si="408"/>
        <v>0</v>
      </c>
      <c r="S372" s="101">
        <f t="shared" si="409"/>
        <v>0</v>
      </c>
      <c r="T372" s="101">
        <f t="shared" si="410"/>
        <v>0</v>
      </c>
      <c r="U372" s="688">
        <f t="shared" si="411"/>
        <v>0</v>
      </c>
      <c r="V372" s="689"/>
      <c r="X372" s="95">
        <v>306</v>
      </c>
      <c r="Y372" s="101">
        <f t="shared" si="412"/>
        <v>0</v>
      </c>
      <c r="Z372" s="101">
        <f t="shared" si="413"/>
        <v>0</v>
      </c>
      <c r="AA372" s="101">
        <f t="shared" si="414"/>
        <v>0</v>
      </c>
      <c r="AB372" s="688">
        <f t="shared" si="415"/>
        <v>0</v>
      </c>
      <c r="AC372" s="689"/>
    </row>
    <row r="373" spans="3:29" x14ac:dyDescent="0.2">
      <c r="C373" s="95">
        <v>307</v>
      </c>
      <c r="D373" s="101" t="str">
        <f t="shared" si="400"/>
        <v>$0.00</v>
      </c>
      <c r="E373" s="101" t="str">
        <f t="shared" si="401"/>
        <v>$0.00</v>
      </c>
      <c r="F373" s="101" t="str">
        <f t="shared" si="402"/>
        <v>$0.00</v>
      </c>
      <c r="G373" s="688" t="str">
        <f t="shared" si="403"/>
        <v>$0.00</v>
      </c>
      <c r="H373" s="689"/>
      <c r="J373" s="95">
        <v>307</v>
      </c>
      <c r="K373" s="96">
        <f t="shared" si="404"/>
        <v>0</v>
      </c>
      <c r="L373" s="96">
        <f t="shared" si="405"/>
        <v>0</v>
      </c>
      <c r="M373" s="96">
        <f t="shared" si="406"/>
        <v>0</v>
      </c>
      <c r="N373" s="688">
        <f t="shared" si="407"/>
        <v>0</v>
      </c>
      <c r="O373" s="689"/>
      <c r="Q373" s="95">
        <v>307</v>
      </c>
      <c r="R373" s="101" t="str">
        <f t="shared" si="408"/>
        <v>$0.00</v>
      </c>
      <c r="S373" s="101" t="str">
        <f t="shared" si="409"/>
        <v>$0.00</v>
      </c>
      <c r="T373" s="101" t="str">
        <f t="shared" si="410"/>
        <v>$0.00</v>
      </c>
      <c r="U373" s="688" t="str">
        <f t="shared" si="411"/>
        <v>$0.00</v>
      </c>
      <c r="V373" s="689"/>
      <c r="X373" s="95">
        <v>307</v>
      </c>
      <c r="Y373" s="101" t="str">
        <f t="shared" si="412"/>
        <v>$0.00</v>
      </c>
      <c r="Z373" s="101" t="str">
        <f t="shared" si="413"/>
        <v>$0.00</v>
      </c>
      <c r="AA373" s="101" t="str">
        <f t="shared" si="414"/>
        <v>$0.00</v>
      </c>
      <c r="AB373" s="688" t="str">
        <f t="shared" si="415"/>
        <v>$0.00</v>
      </c>
      <c r="AC373" s="689"/>
    </row>
    <row r="374" spans="3:29" x14ac:dyDescent="0.2">
      <c r="C374" s="95">
        <v>308</v>
      </c>
      <c r="D374" s="101">
        <f t="shared" si="400"/>
        <v>0</v>
      </c>
      <c r="E374" s="101">
        <f t="shared" si="401"/>
        <v>0</v>
      </c>
      <c r="F374" s="101">
        <f t="shared" si="402"/>
        <v>0</v>
      </c>
      <c r="G374" s="688">
        <f t="shared" si="403"/>
        <v>0</v>
      </c>
      <c r="H374" s="689"/>
      <c r="J374" s="95">
        <v>308</v>
      </c>
      <c r="K374" s="96">
        <f t="shared" si="404"/>
        <v>0</v>
      </c>
      <c r="L374" s="96">
        <f t="shared" si="405"/>
        <v>0</v>
      </c>
      <c r="M374" s="96">
        <f t="shared" si="406"/>
        <v>0</v>
      </c>
      <c r="N374" s="688">
        <f t="shared" si="407"/>
        <v>0</v>
      </c>
      <c r="O374" s="689"/>
      <c r="Q374" s="95">
        <v>308</v>
      </c>
      <c r="R374" s="101">
        <f t="shared" si="408"/>
        <v>0</v>
      </c>
      <c r="S374" s="101">
        <f t="shared" si="409"/>
        <v>0</v>
      </c>
      <c r="T374" s="101">
        <f t="shared" si="410"/>
        <v>0</v>
      </c>
      <c r="U374" s="688">
        <f t="shared" si="411"/>
        <v>0</v>
      </c>
      <c r="V374" s="689"/>
      <c r="X374" s="95">
        <v>308</v>
      </c>
      <c r="Y374" s="101">
        <f t="shared" si="412"/>
        <v>0</v>
      </c>
      <c r="Z374" s="101">
        <f t="shared" si="413"/>
        <v>0</v>
      </c>
      <c r="AA374" s="101">
        <f t="shared" si="414"/>
        <v>0</v>
      </c>
      <c r="AB374" s="688">
        <f t="shared" si="415"/>
        <v>0</v>
      </c>
      <c r="AC374" s="689"/>
    </row>
    <row r="375" spans="3:29" x14ac:dyDescent="0.2">
      <c r="C375" s="95">
        <v>309</v>
      </c>
      <c r="D375" s="101" t="str">
        <f t="shared" si="400"/>
        <v>$0.00</v>
      </c>
      <c r="E375" s="101" t="str">
        <f t="shared" si="401"/>
        <v>$0.00</v>
      </c>
      <c r="F375" s="101" t="str">
        <f t="shared" si="402"/>
        <v>$0.00</v>
      </c>
      <c r="G375" s="688" t="str">
        <f t="shared" si="403"/>
        <v>$0.00</v>
      </c>
      <c r="H375" s="689"/>
      <c r="J375" s="95">
        <v>309</v>
      </c>
      <c r="K375" s="96">
        <f t="shared" si="404"/>
        <v>0</v>
      </c>
      <c r="L375" s="96">
        <f t="shared" si="405"/>
        <v>0</v>
      </c>
      <c r="M375" s="96">
        <f t="shared" si="406"/>
        <v>0</v>
      </c>
      <c r="N375" s="688">
        <f t="shared" si="407"/>
        <v>0</v>
      </c>
      <c r="O375" s="689"/>
      <c r="Q375" s="95">
        <v>309</v>
      </c>
      <c r="R375" s="101" t="str">
        <f t="shared" si="408"/>
        <v>$0.00</v>
      </c>
      <c r="S375" s="101" t="str">
        <f t="shared" si="409"/>
        <v>$0.00</v>
      </c>
      <c r="T375" s="101" t="str">
        <f t="shared" si="410"/>
        <v>$0.00</v>
      </c>
      <c r="U375" s="688" t="str">
        <f t="shared" si="411"/>
        <v>$0.00</v>
      </c>
      <c r="V375" s="689"/>
      <c r="X375" s="95">
        <v>309</v>
      </c>
      <c r="Y375" s="101" t="str">
        <f t="shared" si="412"/>
        <v>$0.00</v>
      </c>
      <c r="Z375" s="101" t="str">
        <f t="shared" si="413"/>
        <v>$0.00</v>
      </c>
      <c r="AA375" s="101" t="str">
        <f t="shared" si="414"/>
        <v>$0.00</v>
      </c>
      <c r="AB375" s="688" t="str">
        <f t="shared" si="415"/>
        <v>$0.00</v>
      </c>
      <c r="AC375" s="689"/>
    </row>
    <row r="376" spans="3:29" x14ac:dyDescent="0.2">
      <c r="C376" s="95">
        <v>310</v>
      </c>
      <c r="D376" s="101">
        <f t="shared" si="400"/>
        <v>0</v>
      </c>
      <c r="E376" s="101">
        <f t="shared" si="401"/>
        <v>0</v>
      </c>
      <c r="F376" s="101">
        <f t="shared" si="402"/>
        <v>0</v>
      </c>
      <c r="G376" s="688">
        <f t="shared" si="403"/>
        <v>0</v>
      </c>
      <c r="H376" s="689"/>
      <c r="J376" s="95">
        <v>310</v>
      </c>
      <c r="K376" s="96">
        <f t="shared" si="404"/>
        <v>0</v>
      </c>
      <c r="L376" s="96">
        <f t="shared" si="405"/>
        <v>0</v>
      </c>
      <c r="M376" s="96">
        <f t="shared" si="406"/>
        <v>0</v>
      </c>
      <c r="N376" s="688">
        <f t="shared" si="407"/>
        <v>0</v>
      </c>
      <c r="O376" s="689"/>
      <c r="Q376" s="95">
        <v>310</v>
      </c>
      <c r="R376" s="101">
        <f t="shared" si="408"/>
        <v>0</v>
      </c>
      <c r="S376" s="101">
        <f t="shared" si="409"/>
        <v>0</v>
      </c>
      <c r="T376" s="101">
        <f t="shared" si="410"/>
        <v>0</v>
      </c>
      <c r="U376" s="688">
        <f t="shared" si="411"/>
        <v>0</v>
      </c>
      <c r="V376" s="689"/>
      <c r="X376" s="95">
        <v>310</v>
      </c>
      <c r="Y376" s="101">
        <f t="shared" si="412"/>
        <v>0</v>
      </c>
      <c r="Z376" s="101">
        <f t="shared" si="413"/>
        <v>0</v>
      </c>
      <c r="AA376" s="101">
        <f t="shared" si="414"/>
        <v>0</v>
      </c>
      <c r="AB376" s="688">
        <f t="shared" si="415"/>
        <v>0</v>
      </c>
      <c r="AC376" s="689"/>
    </row>
    <row r="377" spans="3:29" x14ac:dyDescent="0.2">
      <c r="C377" s="95">
        <v>311</v>
      </c>
      <c r="D377" s="101" t="str">
        <f t="shared" si="400"/>
        <v>$0.00</v>
      </c>
      <c r="E377" s="101" t="str">
        <f t="shared" si="401"/>
        <v>$0.00</v>
      </c>
      <c r="F377" s="101" t="str">
        <f t="shared" si="402"/>
        <v>$0.00</v>
      </c>
      <c r="G377" s="688" t="str">
        <f t="shared" si="403"/>
        <v>$0.00</v>
      </c>
      <c r="H377" s="689"/>
      <c r="J377" s="95">
        <v>311</v>
      </c>
      <c r="K377" s="96">
        <f t="shared" si="404"/>
        <v>0</v>
      </c>
      <c r="L377" s="96">
        <f t="shared" si="405"/>
        <v>0</v>
      </c>
      <c r="M377" s="96">
        <f t="shared" si="406"/>
        <v>0</v>
      </c>
      <c r="N377" s="688">
        <f t="shared" si="407"/>
        <v>0</v>
      </c>
      <c r="O377" s="689"/>
      <c r="Q377" s="95">
        <v>311</v>
      </c>
      <c r="R377" s="101" t="str">
        <f t="shared" si="408"/>
        <v>$0.00</v>
      </c>
      <c r="S377" s="101" t="str">
        <f t="shared" si="409"/>
        <v>$0.00</v>
      </c>
      <c r="T377" s="101" t="str">
        <f t="shared" si="410"/>
        <v>$0.00</v>
      </c>
      <c r="U377" s="688" t="str">
        <f t="shared" si="411"/>
        <v>$0.00</v>
      </c>
      <c r="V377" s="689"/>
      <c r="X377" s="95">
        <v>311</v>
      </c>
      <c r="Y377" s="101" t="str">
        <f t="shared" si="412"/>
        <v>$0.00</v>
      </c>
      <c r="Z377" s="101" t="str">
        <f t="shared" si="413"/>
        <v>$0.00</v>
      </c>
      <c r="AA377" s="101" t="str">
        <f t="shared" si="414"/>
        <v>$0.00</v>
      </c>
      <c r="AB377" s="688" t="str">
        <f t="shared" si="415"/>
        <v>$0.00</v>
      </c>
      <c r="AC377" s="689"/>
    </row>
    <row r="378" spans="3:29" x14ac:dyDescent="0.2">
      <c r="C378" s="95">
        <v>312</v>
      </c>
      <c r="D378" s="101">
        <f t="shared" si="400"/>
        <v>0</v>
      </c>
      <c r="E378" s="101">
        <f t="shared" si="401"/>
        <v>0</v>
      </c>
      <c r="F378" s="101">
        <f t="shared" si="402"/>
        <v>0</v>
      </c>
      <c r="G378" s="690">
        <f t="shared" si="403"/>
        <v>0</v>
      </c>
      <c r="H378" s="691"/>
      <c r="J378" s="95">
        <v>312</v>
      </c>
      <c r="K378" s="96">
        <f t="shared" si="404"/>
        <v>0</v>
      </c>
      <c r="L378" s="96">
        <f t="shared" si="405"/>
        <v>0</v>
      </c>
      <c r="M378" s="96">
        <f t="shared" si="406"/>
        <v>0</v>
      </c>
      <c r="N378" s="690">
        <f t="shared" si="407"/>
        <v>0</v>
      </c>
      <c r="O378" s="691"/>
      <c r="Q378" s="95">
        <v>312</v>
      </c>
      <c r="R378" s="101">
        <f t="shared" si="408"/>
        <v>0</v>
      </c>
      <c r="S378" s="101">
        <f t="shared" si="409"/>
        <v>0</v>
      </c>
      <c r="T378" s="101">
        <f t="shared" si="410"/>
        <v>0</v>
      </c>
      <c r="U378" s="690">
        <f t="shared" si="411"/>
        <v>0</v>
      </c>
      <c r="V378" s="691"/>
      <c r="X378" s="95">
        <v>312</v>
      </c>
      <c r="Y378" s="101">
        <f t="shared" si="412"/>
        <v>0</v>
      </c>
      <c r="Z378" s="101">
        <f t="shared" si="413"/>
        <v>0</v>
      </c>
      <c r="AA378" s="101">
        <f t="shared" si="414"/>
        <v>0</v>
      </c>
      <c r="AB378" s="690">
        <f t="shared" si="415"/>
        <v>0</v>
      </c>
      <c r="AC378" s="691"/>
    </row>
    <row r="379" spans="3:29" x14ac:dyDescent="0.2">
      <c r="C379" s="97" t="s">
        <v>817</v>
      </c>
      <c r="D379" s="104">
        <f>SUM(D367:D378)</f>
        <v>0</v>
      </c>
      <c r="E379" s="104">
        <f>SUM(E367:E378)</f>
        <v>0</v>
      </c>
      <c r="F379" s="104">
        <f>SUM(F367:F378)</f>
        <v>0</v>
      </c>
      <c r="G379" s="692">
        <f>G378</f>
        <v>0</v>
      </c>
      <c r="H379" s="693"/>
      <c r="J379" s="97" t="s">
        <v>817</v>
      </c>
      <c r="K379" s="86">
        <f>SUM(K367:K378)</f>
        <v>0</v>
      </c>
      <c r="L379" s="86">
        <f>SUM(L367:L378)</f>
        <v>0</v>
      </c>
      <c r="M379" s="86">
        <f>SUM(M367:M378)</f>
        <v>0</v>
      </c>
      <c r="N379" s="692">
        <f>N378</f>
        <v>0</v>
      </c>
      <c r="O379" s="711"/>
      <c r="Q379" s="97" t="s">
        <v>817</v>
      </c>
      <c r="R379" s="104">
        <f>SUM(R367:R378)</f>
        <v>0</v>
      </c>
      <c r="S379" s="104">
        <f>SUM(S367:S378)</f>
        <v>0</v>
      </c>
      <c r="T379" s="104">
        <f>SUM(T367:T378)</f>
        <v>0</v>
      </c>
      <c r="U379" s="692">
        <f>U378</f>
        <v>0</v>
      </c>
      <c r="V379" s="693"/>
      <c r="X379" s="97" t="s">
        <v>817</v>
      </c>
      <c r="Y379" s="104">
        <f>SUM(Y367:Y378)</f>
        <v>0</v>
      </c>
      <c r="Z379" s="104">
        <f>SUM(Z367:Z378)</f>
        <v>0</v>
      </c>
      <c r="AA379" s="104">
        <f>SUM(AA367:AA378)</f>
        <v>0</v>
      </c>
      <c r="AB379" s="692">
        <f>AB378</f>
        <v>0</v>
      </c>
      <c r="AC379" s="693"/>
    </row>
    <row r="380" spans="3:29" x14ac:dyDescent="0.2">
      <c r="C380" s="95">
        <v>313</v>
      </c>
      <c r="D380" s="101" t="str">
        <f t="shared" ref="D380:D391" si="416">IF(G379&gt;0,G379*($E$36)/12,"$0.00")</f>
        <v>$0.00</v>
      </c>
      <c r="E380" s="101" t="str">
        <f t="shared" ref="E380:E391" si="417">IF(G379&gt;0,IF($E$38=4,"$0.00",IF($E$38=3,"$0.00",IF($E$38=2,"$0.00",+$G$39-D380))),"$0.00")</f>
        <v>$0.00</v>
      </c>
      <c r="F380" s="101" t="str">
        <f t="shared" ref="F380:F391" si="418">IF(G379=0,"$0.00",IF($E$38=4,"$0.00",IF($E$38=3,"$0.00",IF($E$38=2,D380,D380+E380))))</f>
        <v>$0.00</v>
      </c>
      <c r="G380" s="688" t="str">
        <f t="shared" ref="G380:G391" si="419">IF(G379=0,"$0.00",IF($E$38=4,G379+D380,IF($E$38=3,G379+D380,IF($E$38=2,G379,G379-E380))))</f>
        <v>$0.00</v>
      </c>
      <c r="H380" s="689"/>
      <c r="J380" s="95">
        <v>313</v>
      </c>
      <c r="K380" s="96">
        <f t="shared" ref="K380:K391" si="420">N379*($L$36)/12</f>
        <v>0</v>
      </c>
      <c r="L380" s="96">
        <f t="shared" ref="L380:L391" si="421">IF(L376=4,"$0.00",+$N$39-K380)</f>
        <v>0</v>
      </c>
      <c r="M380" s="96">
        <f t="shared" ref="M380:M391" si="422">IF(L376=4,"$0.00",K380+L380)</f>
        <v>0</v>
      </c>
      <c r="N380" s="709">
        <f t="shared" ref="N380:N391" si="423">IF(L376=4,N379+K380,N379-L380)</f>
        <v>0</v>
      </c>
      <c r="O380" s="710"/>
      <c r="Q380" s="95">
        <v>313</v>
      </c>
      <c r="R380" s="101" t="str">
        <f t="shared" ref="R380:R391" si="424">IF(U379&gt;0,U379*($S$36)/12,"$0.00")</f>
        <v>$0.00</v>
      </c>
      <c r="S380" s="101" t="str">
        <f t="shared" ref="S380:S391" si="425">IF(U379&gt;0,IF($S$38=4,"$0.00",IF($S$38=3,"$0.00",IF($S$38=2,"$0.00",+$U$39-R380))),"$0.00")</f>
        <v>$0.00</v>
      </c>
      <c r="T380" s="101" t="str">
        <f t="shared" ref="T380:T391" si="426">IF(U379=0,"$0.00",IF($S$38=4,"$0.00",IF($S$38=3,"$0.00",IF($S$38=2,R380,R380+S380))))</f>
        <v>$0.00</v>
      </c>
      <c r="U380" s="688" t="str">
        <f t="shared" ref="U380:U391" si="427">IF(U379=0,"$0.00",IF($S$38=4,U379+R380,IF($S$38=3,U379+R380,IF($S$38=2,U379,U379-S380))))</f>
        <v>$0.00</v>
      </c>
      <c r="V380" s="689"/>
      <c r="X380" s="95">
        <v>313</v>
      </c>
      <c r="Y380" s="101" t="str">
        <f t="shared" ref="Y380:Y391" si="428">IF(AB379&gt;0,AB379*($Z$36)/12,"$0.00")</f>
        <v>$0.00</v>
      </c>
      <c r="Z380" s="101" t="str">
        <f t="shared" ref="Z380:Z391" si="429">IF(AB379&gt;0,IF($Z$38=4,"$0.00",IF($Z$38=3,"$0.00",IF($Z$38=2,"$0.00",+$AB$39-Y380))),"$0.00")</f>
        <v>$0.00</v>
      </c>
      <c r="AA380" s="101" t="str">
        <f t="shared" ref="AA380:AA391" si="430">IF(AB379=0,"$0.00",IF($Z$38=4,"$0.00",IF($Z$38=3,"$0.00",IF($Z$38=2,Y380,Y380+Z380))))</f>
        <v>$0.00</v>
      </c>
      <c r="AB380" s="688" t="str">
        <f t="shared" ref="AB380:AB391" si="431">IF(AB379=0,"$0.00",IF($Z$38=4,AB379+Y380,IF($Z$38=3,AB379+Y380,IF($Z$38=2,AB379,AB379-Z380))))</f>
        <v>$0.00</v>
      </c>
      <c r="AC380" s="689"/>
    </row>
    <row r="381" spans="3:29" x14ac:dyDescent="0.2">
      <c r="C381" s="95">
        <v>314</v>
      </c>
      <c r="D381" s="101">
        <f t="shared" si="416"/>
        <v>0</v>
      </c>
      <c r="E381" s="101">
        <f t="shared" si="417"/>
        <v>0</v>
      </c>
      <c r="F381" s="101">
        <f t="shared" si="418"/>
        <v>0</v>
      </c>
      <c r="G381" s="688">
        <f t="shared" si="419"/>
        <v>0</v>
      </c>
      <c r="H381" s="689"/>
      <c r="J381" s="95">
        <v>314</v>
      </c>
      <c r="K381" s="96">
        <f t="shared" si="420"/>
        <v>0</v>
      </c>
      <c r="L381" s="96">
        <f t="shared" si="421"/>
        <v>0</v>
      </c>
      <c r="M381" s="96">
        <f t="shared" si="422"/>
        <v>0</v>
      </c>
      <c r="N381" s="688">
        <f t="shared" si="423"/>
        <v>0</v>
      </c>
      <c r="O381" s="689"/>
      <c r="Q381" s="95">
        <v>314</v>
      </c>
      <c r="R381" s="101">
        <f t="shared" si="424"/>
        <v>0</v>
      </c>
      <c r="S381" s="101">
        <f t="shared" si="425"/>
        <v>0</v>
      </c>
      <c r="T381" s="101">
        <f t="shared" si="426"/>
        <v>0</v>
      </c>
      <c r="U381" s="688">
        <f t="shared" si="427"/>
        <v>0</v>
      </c>
      <c r="V381" s="689"/>
      <c r="X381" s="95">
        <v>314</v>
      </c>
      <c r="Y381" s="101">
        <f t="shared" si="428"/>
        <v>0</v>
      </c>
      <c r="Z381" s="101">
        <f t="shared" si="429"/>
        <v>0</v>
      </c>
      <c r="AA381" s="101">
        <f t="shared" si="430"/>
        <v>0</v>
      </c>
      <c r="AB381" s="688">
        <f t="shared" si="431"/>
        <v>0</v>
      </c>
      <c r="AC381" s="689"/>
    </row>
    <row r="382" spans="3:29" x14ac:dyDescent="0.2">
      <c r="C382" s="95">
        <v>315</v>
      </c>
      <c r="D382" s="101" t="str">
        <f t="shared" si="416"/>
        <v>$0.00</v>
      </c>
      <c r="E382" s="101" t="str">
        <f t="shared" si="417"/>
        <v>$0.00</v>
      </c>
      <c r="F382" s="101" t="str">
        <f t="shared" si="418"/>
        <v>$0.00</v>
      </c>
      <c r="G382" s="688" t="str">
        <f t="shared" si="419"/>
        <v>$0.00</v>
      </c>
      <c r="H382" s="689"/>
      <c r="J382" s="95">
        <v>315</v>
      </c>
      <c r="K382" s="96">
        <f t="shared" si="420"/>
        <v>0</v>
      </c>
      <c r="L382" s="96">
        <f t="shared" si="421"/>
        <v>0</v>
      </c>
      <c r="M382" s="96">
        <f t="shared" si="422"/>
        <v>0</v>
      </c>
      <c r="N382" s="688">
        <f t="shared" si="423"/>
        <v>0</v>
      </c>
      <c r="O382" s="689"/>
      <c r="Q382" s="95">
        <v>315</v>
      </c>
      <c r="R382" s="101" t="str">
        <f t="shared" si="424"/>
        <v>$0.00</v>
      </c>
      <c r="S382" s="101" t="str">
        <f t="shared" si="425"/>
        <v>$0.00</v>
      </c>
      <c r="T382" s="101" t="str">
        <f t="shared" si="426"/>
        <v>$0.00</v>
      </c>
      <c r="U382" s="688" t="str">
        <f t="shared" si="427"/>
        <v>$0.00</v>
      </c>
      <c r="V382" s="689"/>
      <c r="X382" s="95">
        <v>315</v>
      </c>
      <c r="Y382" s="101" t="str">
        <f t="shared" si="428"/>
        <v>$0.00</v>
      </c>
      <c r="Z382" s="101" t="str">
        <f t="shared" si="429"/>
        <v>$0.00</v>
      </c>
      <c r="AA382" s="101" t="str">
        <f t="shared" si="430"/>
        <v>$0.00</v>
      </c>
      <c r="AB382" s="688" t="str">
        <f t="shared" si="431"/>
        <v>$0.00</v>
      </c>
      <c r="AC382" s="689"/>
    </row>
    <row r="383" spans="3:29" x14ac:dyDescent="0.2">
      <c r="C383" s="95">
        <v>316</v>
      </c>
      <c r="D383" s="101">
        <f t="shared" si="416"/>
        <v>0</v>
      </c>
      <c r="E383" s="101">
        <f t="shared" si="417"/>
        <v>0</v>
      </c>
      <c r="F383" s="101">
        <f t="shared" si="418"/>
        <v>0</v>
      </c>
      <c r="G383" s="688">
        <f t="shared" si="419"/>
        <v>0</v>
      </c>
      <c r="H383" s="689"/>
      <c r="J383" s="95">
        <v>316</v>
      </c>
      <c r="K383" s="96">
        <f t="shared" si="420"/>
        <v>0</v>
      </c>
      <c r="L383" s="96">
        <f t="shared" si="421"/>
        <v>0</v>
      </c>
      <c r="M383" s="96">
        <f t="shared" si="422"/>
        <v>0</v>
      </c>
      <c r="N383" s="688">
        <f t="shared" si="423"/>
        <v>0</v>
      </c>
      <c r="O383" s="689"/>
      <c r="Q383" s="95">
        <v>316</v>
      </c>
      <c r="R383" s="101">
        <f t="shared" si="424"/>
        <v>0</v>
      </c>
      <c r="S383" s="101">
        <f t="shared" si="425"/>
        <v>0</v>
      </c>
      <c r="T383" s="101">
        <f t="shared" si="426"/>
        <v>0</v>
      </c>
      <c r="U383" s="688">
        <f t="shared" si="427"/>
        <v>0</v>
      </c>
      <c r="V383" s="689"/>
      <c r="X383" s="95">
        <v>316</v>
      </c>
      <c r="Y383" s="101">
        <f t="shared" si="428"/>
        <v>0</v>
      </c>
      <c r="Z383" s="101">
        <f t="shared" si="429"/>
        <v>0</v>
      </c>
      <c r="AA383" s="101">
        <f t="shared" si="430"/>
        <v>0</v>
      </c>
      <c r="AB383" s="688">
        <f t="shared" si="431"/>
        <v>0</v>
      </c>
      <c r="AC383" s="689"/>
    </row>
    <row r="384" spans="3:29" x14ac:dyDescent="0.2">
      <c r="C384" s="95">
        <v>317</v>
      </c>
      <c r="D384" s="101" t="str">
        <f t="shared" si="416"/>
        <v>$0.00</v>
      </c>
      <c r="E384" s="101" t="str">
        <f t="shared" si="417"/>
        <v>$0.00</v>
      </c>
      <c r="F384" s="101" t="str">
        <f t="shared" si="418"/>
        <v>$0.00</v>
      </c>
      <c r="G384" s="688" t="str">
        <f t="shared" si="419"/>
        <v>$0.00</v>
      </c>
      <c r="H384" s="689"/>
      <c r="J384" s="95">
        <v>317</v>
      </c>
      <c r="K384" s="96">
        <f t="shared" si="420"/>
        <v>0</v>
      </c>
      <c r="L384" s="96">
        <f t="shared" si="421"/>
        <v>0</v>
      </c>
      <c r="M384" s="96">
        <f t="shared" si="422"/>
        <v>0</v>
      </c>
      <c r="N384" s="688">
        <f t="shared" si="423"/>
        <v>0</v>
      </c>
      <c r="O384" s="689"/>
      <c r="Q384" s="95">
        <v>317</v>
      </c>
      <c r="R384" s="101" t="str">
        <f t="shared" si="424"/>
        <v>$0.00</v>
      </c>
      <c r="S384" s="101" t="str">
        <f t="shared" si="425"/>
        <v>$0.00</v>
      </c>
      <c r="T384" s="101" t="str">
        <f t="shared" si="426"/>
        <v>$0.00</v>
      </c>
      <c r="U384" s="688" t="str">
        <f t="shared" si="427"/>
        <v>$0.00</v>
      </c>
      <c r="V384" s="689"/>
      <c r="X384" s="95">
        <v>317</v>
      </c>
      <c r="Y384" s="101" t="str">
        <f t="shared" si="428"/>
        <v>$0.00</v>
      </c>
      <c r="Z384" s="101" t="str">
        <f t="shared" si="429"/>
        <v>$0.00</v>
      </c>
      <c r="AA384" s="101" t="str">
        <f t="shared" si="430"/>
        <v>$0.00</v>
      </c>
      <c r="AB384" s="688" t="str">
        <f t="shared" si="431"/>
        <v>$0.00</v>
      </c>
      <c r="AC384" s="689"/>
    </row>
    <row r="385" spans="3:29" x14ac:dyDescent="0.2">
      <c r="C385" s="95">
        <v>318</v>
      </c>
      <c r="D385" s="101">
        <f t="shared" si="416"/>
        <v>0</v>
      </c>
      <c r="E385" s="101">
        <f t="shared" si="417"/>
        <v>0</v>
      </c>
      <c r="F385" s="101">
        <f t="shared" si="418"/>
        <v>0</v>
      </c>
      <c r="G385" s="688">
        <f t="shared" si="419"/>
        <v>0</v>
      </c>
      <c r="H385" s="689"/>
      <c r="J385" s="95">
        <v>318</v>
      </c>
      <c r="K385" s="96">
        <f t="shared" si="420"/>
        <v>0</v>
      </c>
      <c r="L385" s="96">
        <f t="shared" si="421"/>
        <v>0</v>
      </c>
      <c r="M385" s="96">
        <f t="shared" si="422"/>
        <v>0</v>
      </c>
      <c r="N385" s="688">
        <f t="shared" si="423"/>
        <v>0</v>
      </c>
      <c r="O385" s="689"/>
      <c r="Q385" s="95">
        <v>318</v>
      </c>
      <c r="R385" s="101">
        <f t="shared" si="424"/>
        <v>0</v>
      </c>
      <c r="S385" s="101">
        <f t="shared" si="425"/>
        <v>0</v>
      </c>
      <c r="T385" s="101">
        <f t="shared" si="426"/>
        <v>0</v>
      </c>
      <c r="U385" s="688">
        <f t="shared" si="427"/>
        <v>0</v>
      </c>
      <c r="V385" s="689"/>
      <c r="X385" s="95">
        <v>318</v>
      </c>
      <c r="Y385" s="101">
        <f t="shared" si="428"/>
        <v>0</v>
      </c>
      <c r="Z385" s="101">
        <f t="shared" si="429"/>
        <v>0</v>
      </c>
      <c r="AA385" s="101">
        <f t="shared" si="430"/>
        <v>0</v>
      </c>
      <c r="AB385" s="688">
        <f t="shared" si="431"/>
        <v>0</v>
      </c>
      <c r="AC385" s="689"/>
    </row>
    <row r="386" spans="3:29" x14ac:dyDescent="0.2">
      <c r="C386" s="95">
        <v>319</v>
      </c>
      <c r="D386" s="101" t="str">
        <f t="shared" si="416"/>
        <v>$0.00</v>
      </c>
      <c r="E386" s="101" t="str">
        <f t="shared" si="417"/>
        <v>$0.00</v>
      </c>
      <c r="F386" s="101" t="str">
        <f t="shared" si="418"/>
        <v>$0.00</v>
      </c>
      <c r="G386" s="688" t="str">
        <f t="shared" si="419"/>
        <v>$0.00</v>
      </c>
      <c r="H386" s="689"/>
      <c r="J386" s="95">
        <v>319</v>
      </c>
      <c r="K386" s="96">
        <f t="shared" si="420"/>
        <v>0</v>
      </c>
      <c r="L386" s="96">
        <f t="shared" si="421"/>
        <v>0</v>
      </c>
      <c r="M386" s="96">
        <f t="shared" si="422"/>
        <v>0</v>
      </c>
      <c r="N386" s="688">
        <f t="shared" si="423"/>
        <v>0</v>
      </c>
      <c r="O386" s="689"/>
      <c r="Q386" s="95">
        <v>319</v>
      </c>
      <c r="R386" s="101" t="str">
        <f t="shared" si="424"/>
        <v>$0.00</v>
      </c>
      <c r="S386" s="101" t="str">
        <f t="shared" si="425"/>
        <v>$0.00</v>
      </c>
      <c r="T386" s="101" t="str">
        <f t="shared" si="426"/>
        <v>$0.00</v>
      </c>
      <c r="U386" s="688" t="str">
        <f t="shared" si="427"/>
        <v>$0.00</v>
      </c>
      <c r="V386" s="689"/>
      <c r="X386" s="95">
        <v>319</v>
      </c>
      <c r="Y386" s="101" t="str">
        <f t="shared" si="428"/>
        <v>$0.00</v>
      </c>
      <c r="Z386" s="101" t="str">
        <f t="shared" si="429"/>
        <v>$0.00</v>
      </c>
      <c r="AA386" s="101" t="str">
        <f t="shared" si="430"/>
        <v>$0.00</v>
      </c>
      <c r="AB386" s="688" t="str">
        <f t="shared" si="431"/>
        <v>$0.00</v>
      </c>
      <c r="AC386" s="689"/>
    </row>
    <row r="387" spans="3:29" x14ac:dyDescent="0.2">
      <c r="C387" s="95">
        <v>320</v>
      </c>
      <c r="D387" s="101">
        <f t="shared" si="416"/>
        <v>0</v>
      </c>
      <c r="E387" s="101">
        <f t="shared" si="417"/>
        <v>0</v>
      </c>
      <c r="F387" s="101">
        <f t="shared" si="418"/>
        <v>0</v>
      </c>
      <c r="G387" s="688">
        <f t="shared" si="419"/>
        <v>0</v>
      </c>
      <c r="H387" s="689"/>
      <c r="J387" s="95">
        <v>320</v>
      </c>
      <c r="K387" s="96">
        <f t="shared" si="420"/>
        <v>0</v>
      </c>
      <c r="L387" s="96">
        <f t="shared" si="421"/>
        <v>0</v>
      </c>
      <c r="M387" s="96">
        <f t="shared" si="422"/>
        <v>0</v>
      </c>
      <c r="N387" s="688">
        <f t="shared" si="423"/>
        <v>0</v>
      </c>
      <c r="O387" s="689"/>
      <c r="Q387" s="95">
        <v>320</v>
      </c>
      <c r="R387" s="101">
        <f t="shared" si="424"/>
        <v>0</v>
      </c>
      <c r="S387" s="101">
        <f t="shared" si="425"/>
        <v>0</v>
      </c>
      <c r="T387" s="101">
        <f t="shared" si="426"/>
        <v>0</v>
      </c>
      <c r="U387" s="688">
        <f t="shared" si="427"/>
        <v>0</v>
      </c>
      <c r="V387" s="689"/>
      <c r="X387" s="95">
        <v>320</v>
      </c>
      <c r="Y387" s="101">
        <f t="shared" si="428"/>
        <v>0</v>
      </c>
      <c r="Z387" s="101">
        <f t="shared" si="429"/>
        <v>0</v>
      </c>
      <c r="AA387" s="101">
        <f t="shared" si="430"/>
        <v>0</v>
      </c>
      <c r="AB387" s="688">
        <f t="shared" si="431"/>
        <v>0</v>
      </c>
      <c r="AC387" s="689"/>
    </row>
    <row r="388" spans="3:29" x14ac:dyDescent="0.2">
      <c r="C388" s="95">
        <v>321</v>
      </c>
      <c r="D388" s="101" t="str">
        <f t="shared" si="416"/>
        <v>$0.00</v>
      </c>
      <c r="E388" s="101" t="str">
        <f t="shared" si="417"/>
        <v>$0.00</v>
      </c>
      <c r="F388" s="101" t="str">
        <f t="shared" si="418"/>
        <v>$0.00</v>
      </c>
      <c r="G388" s="688" t="str">
        <f t="shared" si="419"/>
        <v>$0.00</v>
      </c>
      <c r="H388" s="689"/>
      <c r="J388" s="95">
        <v>321</v>
      </c>
      <c r="K388" s="96">
        <f t="shared" si="420"/>
        <v>0</v>
      </c>
      <c r="L388" s="96">
        <f t="shared" si="421"/>
        <v>0</v>
      </c>
      <c r="M388" s="96">
        <f t="shared" si="422"/>
        <v>0</v>
      </c>
      <c r="N388" s="688">
        <f t="shared" si="423"/>
        <v>0</v>
      </c>
      <c r="O388" s="689"/>
      <c r="Q388" s="95">
        <v>321</v>
      </c>
      <c r="R388" s="101" t="str">
        <f t="shared" si="424"/>
        <v>$0.00</v>
      </c>
      <c r="S388" s="101" t="str">
        <f t="shared" si="425"/>
        <v>$0.00</v>
      </c>
      <c r="T388" s="101" t="str">
        <f t="shared" si="426"/>
        <v>$0.00</v>
      </c>
      <c r="U388" s="688" t="str">
        <f t="shared" si="427"/>
        <v>$0.00</v>
      </c>
      <c r="V388" s="689"/>
      <c r="X388" s="95">
        <v>321</v>
      </c>
      <c r="Y388" s="101" t="str">
        <f t="shared" si="428"/>
        <v>$0.00</v>
      </c>
      <c r="Z388" s="101" t="str">
        <f t="shared" si="429"/>
        <v>$0.00</v>
      </c>
      <c r="AA388" s="101" t="str">
        <f t="shared" si="430"/>
        <v>$0.00</v>
      </c>
      <c r="AB388" s="688" t="str">
        <f t="shared" si="431"/>
        <v>$0.00</v>
      </c>
      <c r="AC388" s="689"/>
    </row>
    <row r="389" spans="3:29" x14ac:dyDescent="0.2">
      <c r="C389" s="95">
        <v>322</v>
      </c>
      <c r="D389" s="101">
        <f t="shared" si="416"/>
        <v>0</v>
      </c>
      <c r="E389" s="101">
        <f t="shared" si="417"/>
        <v>0</v>
      </c>
      <c r="F389" s="101">
        <f t="shared" si="418"/>
        <v>0</v>
      </c>
      <c r="G389" s="688">
        <f t="shared" si="419"/>
        <v>0</v>
      </c>
      <c r="H389" s="689"/>
      <c r="J389" s="95">
        <v>322</v>
      </c>
      <c r="K389" s="96">
        <f t="shared" si="420"/>
        <v>0</v>
      </c>
      <c r="L389" s="96">
        <f t="shared" si="421"/>
        <v>0</v>
      </c>
      <c r="M389" s="96">
        <f t="shared" si="422"/>
        <v>0</v>
      </c>
      <c r="N389" s="688">
        <f t="shared" si="423"/>
        <v>0</v>
      </c>
      <c r="O389" s="689"/>
      <c r="Q389" s="95">
        <v>322</v>
      </c>
      <c r="R389" s="101">
        <f t="shared" si="424"/>
        <v>0</v>
      </c>
      <c r="S389" s="101">
        <f t="shared" si="425"/>
        <v>0</v>
      </c>
      <c r="T389" s="101">
        <f t="shared" si="426"/>
        <v>0</v>
      </c>
      <c r="U389" s="688">
        <f t="shared" si="427"/>
        <v>0</v>
      </c>
      <c r="V389" s="689"/>
      <c r="X389" s="95">
        <v>322</v>
      </c>
      <c r="Y389" s="101">
        <f t="shared" si="428"/>
        <v>0</v>
      </c>
      <c r="Z389" s="101">
        <f t="shared" si="429"/>
        <v>0</v>
      </c>
      <c r="AA389" s="101">
        <f t="shared" si="430"/>
        <v>0</v>
      </c>
      <c r="AB389" s="688">
        <f t="shared" si="431"/>
        <v>0</v>
      </c>
      <c r="AC389" s="689"/>
    </row>
    <row r="390" spans="3:29" x14ac:dyDescent="0.2">
      <c r="C390" s="95">
        <v>323</v>
      </c>
      <c r="D390" s="101" t="str">
        <f t="shared" si="416"/>
        <v>$0.00</v>
      </c>
      <c r="E390" s="101" t="str">
        <f t="shared" si="417"/>
        <v>$0.00</v>
      </c>
      <c r="F390" s="101" t="str">
        <f t="shared" si="418"/>
        <v>$0.00</v>
      </c>
      <c r="G390" s="688" t="str">
        <f t="shared" si="419"/>
        <v>$0.00</v>
      </c>
      <c r="H390" s="689"/>
      <c r="J390" s="95">
        <v>323</v>
      </c>
      <c r="K390" s="96">
        <f t="shared" si="420"/>
        <v>0</v>
      </c>
      <c r="L390" s="96">
        <f t="shared" si="421"/>
        <v>0</v>
      </c>
      <c r="M390" s="96">
        <f t="shared" si="422"/>
        <v>0</v>
      </c>
      <c r="N390" s="688">
        <f t="shared" si="423"/>
        <v>0</v>
      </c>
      <c r="O390" s="689"/>
      <c r="Q390" s="95">
        <v>323</v>
      </c>
      <c r="R390" s="101" t="str">
        <f t="shared" si="424"/>
        <v>$0.00</v>
      </c>
      <c r="S390" s="101" t="str">
        <f t="shared" si="425"/>
        <v>$0.00</v>
      </c>
      <c r="T390" s="101" t="str">
        <f t="shared" si="426"/>
        <v>$0.00</v>
      </c>
      <c r="U390" s="688" t="str">
        <f t="shared" si="427"/>
        <v>$0.00</v>
      </c>
      <c r="V390" s="689"/>
      <c r="X390" s="95">
        <v>323</v>
      </c>
      <c r="Y390" s="101" t="str">
        <f t="shared" si="428"/>
        <v>$0.00</v>
      </c>
      <c r="Z390" s="101" t="str">
        <f t="shared" si="429"/>
        <v>$0.00</v>
      </c>
      <c r="AA390" s="101" t="str">
        <f t="shared" si="430"/>
        <v>$0.00</v>
      </c>
      <c r="AB390" s="688" t="str">
        <f t="shared" si="431"/>
        <v>$0.00</v>
      </c>
      <c r="AC390" s="689"/>
    </row>
    <row r="391" spans="3:29" x14ac:dyDescent="0.2">
      <c r="C391" s="95">
        <v>324</v>
      </c>
      <c r="D391" s="101">
        <f t="shared" si="416"/>
        <v>0</v>
      </c>
      <c r="E391" s="101">
        <f t="shared" si="417"/>
        <v>0</v>
      </c>
      <c r="F391" s="101">
        <f t="shared" si="418"/>
        <v>0</v>
      </c>
      <c r="G391" s="690">
        <f t="shared" si="419"/>
        <v>0</v>
      </c>
      <c r="H391" s="691"/>
      <c r="J391" s="95">
        <v>324</v>
      </c>
      <c r="K391" s="96">
        <f t="shared" si="420"/>
        <v>0</v>
      </c>
      <c r="L391" s="96">
        <f t="shared" si="421"/>
        <v>0</v>
      </c>
      <c r="M391" s="96">
        <f t="shared" si="422"/>
        <v>0</v>
      </c>
      <c r="N391" s="690">
        <f t="shared" si="423"/>
        <v>0</v>
      </c>
      <c r="O391" s="691"/>
      <c r="Q391" s="95">
        <v>324</v>
      </c>
      <c r="R391" s="101">
        <f t="shared" si="424"/>
        <v>0</v>
      </c>
      <c r="S391" s="101">
        <f t="shared" si="425"/>
        <v>0</v>
      </c>
      <c r="T391" s="101">
        <f t="shared" si="426"/>
        <v>0</v>
      </c>
      <c r="U391" s="690">
        <f t="shared" si="427"/>
        <v>0</v>
      </c>
      <c r="V391" s="691"/>
      <c r="X391" s="95">
        <v>324</v>
      </c>
      <c r="Y391" s="101">
        <f t="shared" si="428"/>
        <v>0</v>
      </c>
      <c r="Z391" s="101">
        <f t="shared" si="429"/>
        <v>0</v>
      </c>
      <c r="AA391" s="101">
        <f t="shared" si="430"/>
        <v>0</v>
      </c>
      <c r="AB391" s="690">
        <f t="shared" si="431"/>
        <v>0</v>
      </c>
      <c r="AC391" s="691"/>
    </row>
    <row r="392" spans="3:29" x14ac:dyDescent="0.2">
      <c r="C392" s="97" t="s">
        <v>818</v>
      </c>
      <c r="D392" s="104">
        <f>SUM(D380:D391)</f>
        <v>0</v>
      </c>
      <c r="E392" s="104">
        <f>SUM(E380:E391)</f>
        <v>0</v>
      </c>
      <c r="F392" s="104">
        <f>SUM(F380:F391)</f>
        <v>0</v>
      </c>
      <c r="G392" s="692">
        <f>G391</f>
        <v>0</v>
      </c>
      <c r="H392" s="693"/>
      <c r="J392" s="97" t="s">
        <v>818</v>
      </c>
      <c r="K392" s="86">
        <f>SUM(K380:K391)</f>
        <v>0</v>
      </c>
      <c r="L392" s="86">
        <f>SUM(L380:L391)</f>
        <v>0</v>
      </c>
      <c r="M392" s="86">
        <f>SUM(M380:M391)</f>
        <v>0</v>
      </c>
      <c r="N392" s="692">
        <f>N391</f>
        <v>0</v>
      </c>
      <c r="O392" s="711"/>
      <c r="Q392" s="97" t="s">
        <v>818</v>
      </c>
      <c r="R392" s="104">
        <f>SUM(R380:R391)</f>
        <v>0</v>
      </c>
      <c r="S392" s="104">
        <f>SUM(S380:S391)</f>
        <v>0</v>
      </c>
      <c r="T392" s="104">
        <f>SUM(T380:T391)</f>
        <v>0</v>
      </c>
      <c r="U392" s="692">
        <f>U391</f>
        <v>0</v>
      </c>
      <c r="V392" s="693"/>
      <c r="X392" s="97" t="s">
        <v>818</v>
      </c>
      <c r="Y392" s="104">
        <f>SUM(Y380:Y391)</f>
        <v>0</v>
      </c>
      <c r="Z392" s="104">
        <f>SUM(Z380:Z391)</f>
        <v>0</v>
      </c>
      <c r="AA392" s="104">
        <f>SUM(AA380:AA391)</f>
        <v>0</v>
      </c>
      <c r="AB392" s="692">
        <f>AB391</f>
        <v>0</v>
      </c>
      <c r="AC392" s="693"/>
    </row>
    <row r="393" spans="3:29" x14ac:dyDescent="0.2">
      <c r="C393" s="95">
        <v>325</v>
      </c>
      <c r="D393" s="101" t="str">
        <f t="shared" ref="D393:D404" si="432">IF(G392&gt;0,G392*($E$36)/12,"$0.00")</f>
        <v>$0.00</v>
      </c>
      <c r="E393" s="101" t="str">
        <f t="shared" ref="E393:E404" si="433">IF(G392&gt;0,IF($E$38=4,"$0.00",IF($E$38=3,"$0.00",IF($E$38=2,"$0.00",+$G$39-D393))),"$0.00")</f>
        <v>$0.00</v>
      </c>
      <c r="F393" s="101" t="str">
        <f t="shared" ref="F393:F404" si="434">IF(G392=0,"$0.00",IF($E$38=4,"$0.00",IF($E$38=3,"$0.00",IF($E$38=2,D393,D393+E393))))</f>
        <v>$0.00</v>
      </c>
      <c r="G393" s="688" t="str">
        <f t="shared" ref="G393:G404" si="435">IF(G392=0,"$0.00",IF($E$38=4,G392+D393,IF($E$38=3,G392+D393,IF($E$38=2,G392,G392-E393))))</f>
        <v>$0.00</v>
      </c>
      <c r="H393" s="689"/>
      <c r="J393" s="95">
        <v>325</v>
      </c>
      <c r="K393" s="96">
        <f t="shared" ref="K393:K404" si="436">N392*($L$36)/12</f>
        <v>0</v>
      </c>
      <c r="L393" s="96">
        <f t="shared" ref="L393:L404" si="437">IF(L389=4,"$0.00",+$N$39-K393)</f>
        <v>0</v>
      </c>
      <c r="M393" s="96">
        <f t="shared" ref="M393:M404" si="438">IF(L389=4,"$0.00",K393+L393)</f>
        <v>0</v>
      </c>
      <c r="N393" s="709">
        <f t="shared" ref="N393:N404" si="439">IF(L389=4,N392+K393,N392-L393)</f>
        <v>0</v>
      </c>
      <c r="O393" s="710"/>
      <c r="Q393" s="95">
        <v>325</v>
      </c>
      <c r="R393" s="101" t="str">
        <f t="shared" ref="R393:R404" si="440">IF(U392&gt;0,U392*($S$36)/12,"$0.00")</f>
        <v>$0.00</v>
      </c>
      <c r="S393" s="101" t="str">
        <f t="shared" ref="S393:S404" si="441">IF(U392&gt;0,IF($S$38=4,"$0.00",IF($S$38=3,"$0.00",IF($S$38=2,"$0.00",+$U$39-R393))),"$0.00")</f>
        <v>$0.00</v>
      </c>
      <c r="T393" s="101" t="str">
        <f t="shared" ref="T393:T404" si="442">IF(U392=0,"$0.00",IF($S$38=4,"$0.00",IF($S$38=3,"$0.00",IF($S$38=2,R393,R393+S393))))</f>
        <v>$0.00</v>
      </c>
      <c r="U393" s="688" t="str">
        <f t="shared" ref="U393:U404" si="443">IF(U392=0,"$0.00",IF($S$38=4,U392+R393,IF($S$38=3,U392+R393,IF($S$38=2,U392,U392-S393))))</f>
        <v>$0.00</v>
      </c>
      <c r="V393" s="689"/>
      <c r="X393" s="95">
        <v>325</v>
      </c>
      <c r="Y393" s="101" t="str">
        <f t="shared" ref="Y393:Y404" si="444">IF(AB392&gt;0,AB392*($Z$36)/12,"$0.00")</f>
        <v>$0.00</v>
      </c>
      <c r="Z393" s="101" t="str">
        <f t="shared" ref="Z393:Z404" si="445">IF(AB392&gt;0,IF($Z$38=4,"$0.00",IF($Z$38=3,"$0.00",IF($Z$38=2,"$0.00",+$AB$39-Y393))),"$0.00")</f>
        <v>$0.00</v>
      </c>
      <c r="AA393" s="101" t="str">
        <f t="shared" ref="AA393:AA404" si="446">IF(AB392=0,"$0.00",IF($Z$38=4,"$0.00",IF($Z$38=3,"$0.00",IF($Z$38=2,Y393,Y393+Z393))))</f>
        <v>$0.00</v>
      </c>
      <c r="AB393" s="688" t="str">
        <f t="shared" ref="AB393:AB404" si="447">IF(AB392=0,"$0.00",IF($Z$38=4,AB392+Y393,IF($Z$38=3,AB392+Y393,IF($Z$38=2,AB392,AB392-Z393))))</f>
        <v>$0.00</v>
      </c>
      <c r="AC393" s="689"/>
    </row>
    <row r="394" spans="3:29" x14ac:dyDescent="0.2">
      <c r="C394" s="95">
        <v>326</v>
      </c>
      <c r="D394" s="101">
        <f t="shared" si="432"/>
        <v>0</v>
      </c>
      <c r="E394" s="101">
        <f t="shared" si="433"/>
        <v>0</v>
      </c>
      <c r="F394" s="101">
        <f t="shared" si="434"/>
        <v>0</v>
      </c>
      <c r="G394" s="688">
        <f t="shared" si="435"/>
        <v>0</v>
      </c>
      <c r="H394" s="689"/>
      <c r="J394" s="95">
        <v>326</v>
      </c>
      <c r="K394" s="96">
        <f t="shared" si="436"/>
        <v>0</v>
      </c>
      <c r="L394" s="96">
        <f t="shared" si="437"/>
        <v>0</v>
      </c>
      <c r="M394" s="96">
        <f t="shared" si="438"/>
        <v>0</v>
      </c>
      <c r="N394" s="688">
        <f t="shared" si="439"/>
        <v>0</v>
      </c>
      <c r="O394" s="689"/>
      <c r="Q394" s="95">
        <v>326</v>
      </c>
      <c r="R394" s="101">
        <f t="shared" si="440"/>
        <v>0</v>
      </c>
      <c r="S394" s="101">
        <f t="shared" si="441"/>
        <v>0</v>
      </c>
      <c r="T394" s="101">
        <f t="shared" si="442"/>
        <v>0</v>
      </c>
      <c r="U394" s="688">
        <f t="shared" si="443"/>
        <v>0</v>
      </c>
      <c r="V394" s="689"/>
      <c r="X394" s="95">
        <v>326</v>
      </c>
      <c r="Y394" s="101">
        <f t="shared" si="444"/>
        <v>0</v>
      </c>
      <c r="Z394" s="101">
        <f t="shared" si="445"/>
        <v>0</v>
      </c>
      <c r="AA394" s="101">
        <f t="shared" si="446"/>
        <v>0</v>
      </c>
      <c r="AB394" s="688">
        <f t="shared" si="447"/>
        <v>0</v>
      </c>
      <c r="AC394" s="689"/>
    </row>
    <row r="395" spans="3:29" x14ac:dyDescent="0.2">
      <c r="C395" s="95">
        <v>327</v>
      </c>
      <c r="D395" s="101" t="str">
        <f t="shared" si="432"/>
        <v>$0.00</v>
      </c>
      <c r="E395" s="101" t="str">
        <f t="shared" si="433"/>
        <v>$0.00</v>
      </c>
      <c r="F395" s="101" t="str">
        <f t="shared" si="434"/>
        <v>$0.00</v>
      </c>
      <c r="G395" s="688" t="str">
        <f t="shared" si="435"/>
        <v>$0.00</v>
      </c>
      <c r="H395" s="689"/>
      <c r="J395" s="95">
        <v>327</v>
      </c>
      <c r="K395" s="96">
        <f t="shared" si="436"/>
        <v>0</v>
      </c>
      <c r="L395" s="96">
        <f t="shared" si="437"/>
        <v>0</v>
      </c>
      <c r="M395" s="96">
        <f t="shared" si="438"/>
        <v>0</v>
      </c>
      <c r="N395" s="688">
        <f t="shared" si="439"/>
        <v>0</v>
      </c>
      <c r="O395" s="689"/>
      <c r="Q395" s="95">
        <v>327</v>
      </c>
      <c r="R395" s="101" t="str">
        <f t="shared" si="440"/>
        <v>$0.00</v>
      </c>
      <c r="S395" s="101" t="str">
        <f t="shared" si="441"/>
        <v>$0.00</v>
      </c>
      <c r="T395" s="101" t="str">
        <f t="shared" si="442"/>
        <v>$0.00</v>
      </c>
      <c r="U395" s="688" t="str">
        <f t="shared" si="443"/>
        <v>$0.00</v>
      </c>
      <c r="V395" s="689"/>
      <c r="X395" s="95">
        <v>327</v>
      </c>
      <c r="Y395" s="101" t="str">
        <f t="shared" si="444"/>
        <v>$0.00</v>
      </c>
      <c r="Z395" s="101" t="str">
        <f t="shared" si="445"/>
        <v>$0.00</v>
      </c>
      <c r="AA395" s="101" t="str">
        <f t="shared" si="446"/>
        <v>$0.00</v>
      </c>
      <c r="AB395" s="688" t="str">
        <f t="shared" si="447"/>
        <v>$0.00</v>
      </c>
      <c r="AC395" s="689"/>
    </row>
    <row r="396" spans="3:29" x14ac:dyDescent="0.2">
      <c r="C396" s="95">
        <v>328</v>
      </c>
      <c r="D396" s="101">
        <f t="shared" si="432"/>
        <v>0</v>
      </c>
      <c r="E396" s="101">
        <f t="shared" si="433"/>
        <v>0</v>
      </c>
      <c r="F396" s="101">
        <f t="shared" si="434"/>
        <v>0</v>
      </c>
      <c r="G396" s="688">
        <f t="shared" si="435"/>
        <v>0</v>
      </c>
      <c r="H396" s="689"/>
      <c r="J396" s="95">
        <v>328</v>
      </c>
      <c r="K396" s="96">
        <f t="shared" si="436"/>
        <v>0</v>
      </c>
      <c r="L396" s="96">
        <f t="shared" si="437"/>
        <v>0</v>
      </c>
      <c r="M396" s="96">
        <f t="shared" si="438"/>
        <v>0</v>
      </c>
      <c r="N396" s="688">
        <f t="shared" si="439"/>
        <v>0</v>
      </c>
      <c r="O396" s="689"/>
      <c r="Q396" s="95">
        <v>328</v>
      </c>
      <c r="R396" s="101">
        <f t="shared" si="440"/>
        <v>0</v>
      </c>
      <c r="S396" s="101">
        <f t="shared" si="441"/>
        <v>0</v>
      </c>
      <c r="T396" s="101">
        <f t="shared" si="442"/>
        <v>0</v>
      </c>
      <c r="U396" s="688">
        <f t="shared" si="443"/>
        <v>0</v>
      </c>
      <c r="V396" s="689"/>
      <c r="X396" s="95">
        <v>328</v>
      </c>
      <c r="Y396" s="101">
        <f t="shared" si="444"/>
        <v>0</v>
      </c>
      <c r="Z396" s="101">
        <f t="shared" si="445"/>
        <v>0</v>
      </c>
      <c r="AA396" s="101">
        <f t="shared" si="446"/>
        <v>0</v>
      </c>
      <c r="AB396" s="688">
        <f t="shared" si="447"/>
        <v>0</v>
      </c>
      <c r="AC396" s="689"/>
    </row>
    <row r="397" spans="3:29" x14ac:dyDescent="0.2">
      <c r="C397" s="95">
        <v>329</v>
      </c>
      <c r="D397" s="101" t="str">
        <f t="shared" si="432"/>
        <v>$0.00</v>
      </c>
      <c r="E397" s="101" t="str">
        <f t="shared" si="433"/>
        <v>$0.00</v>
      </c>
      <c r="F397" s="101" t="str">
        <f t="shared" si="434"/>
        <v>$0.00</v>
      </c>
      <c r="G397" s="688" t="str">
        <f t="shared" si="435"/>
        <v>$0.00</v>
      </c>
      <c r="H397" s="689"/>
      <c r="J397" s="95">
        <v>329</v>
      </c>
      <c r="K397" s="96">
        <f t="shared" si="436"/>
        <v>0</v>
      </c>
      <c r="L397" s="96">
        <f t="shared" si="437"/>
        <v>0</v>
      </c>
      <c r="M397" s="96">
        <f t="shared" si="438"/>
        <v>0</v>
      </c>
      <c r="N397" s="688">
        <f t="shared" si="439"/>
        <v>0</v>
      </c>
      <c r="O397" s="689"/>
      <c r="Q397" s="95">
        <v>329</v>
      </c>
      <c r="R397" s="101" t="str">
        <f t="shared" si="440"/>
        <v>$0.00</v>
      </c>
      <c r="S397" s="101" t="str">
        <f t="shared" si="441"/>
        <v>$0.00</v>
      </c>
      <c r="T397" s="101" t="str">
        <f t="shared" si="442"/>
        <v>$0.00</v>
      </c>
      <c r="U397" s="688" t="str">
        <f t="shared" si="443"/>
        <v>$0.00</v>
      </c>
      <c r="V397" s="689"/>
      <c r="X397" s="95">
        <v>329</v>
      </c>
      <c r="Y397" s="101" t="str">
        <f t="shared" si="444"/>
        <v>$0.00</v>
      </c>
      <c r="Z397" s="101" t="str">
        <f t="shared" si="445"/>
        <v>$0.00</v>
      </c>
      <c r="AA397" s="101" t="str">
        <f t="shared" si="446"/>
        <v>$0.00</v>
      </c>
      <c r="AB397" s="688" t="str">
        <f t="shared" si="447"/>
        <v>$0.00</v>
      </c>
      <c r="AC397" s="689"/>
    </row>
    <row r="398" spans="3:29" x14ac:dyDescent="0.2">
      <c r="C398" s="95">
        <v>330</v>
      </c>
      <c r="D398" s="101">
        <f t="shared" si="432"/>
        <v>0</v>
      </c>
      <c r="E398" s="101">
        <f t="shared" si="433"/>
        <v>0</v>
      </c>
      <c r="F398" s="101">
        <f t="shared" si="434"/>
        <v>0</v>
      </c>
      <c r="G398" s="688">
        <f t="shared" si="435"/>
        <v>0</v>
      </c>
      <c r="H398" s="689"/>
      <c r="J398" s="95">
        <v>330</v>
      </c>
      <c r="K398" s="96">
        <f t="shared" si="436"/>
        <v>0</v>
      </c>
      <c r="L398" s="96">
        <f t="shared" si="437"/>
        <v>0</v>
      </c>
      <c r="M398" s="96">
        <f t="shared" si="438"/>
        <v>0</v>
      </c>
      <c r="N398" s="688">
        <f t="shared" si="439"/>
        <v>0</v>
      </c>
      <c r="O398" s="689"/>
      <c r="Q398" s="95">
        <v>330</v>
      </c>
      <c r="R398" s="101">
        <f t="shared" si="440"/>
        <v>0</v>
      </c>
      <c r="S398" s="101">
        <f t="shared" si="441"/>
        <v>0</v>
      </c>
      <c r="T398" s="101">
        <f t="shared" si="442"/>
        <v>0</v>
      </c>
      <c r="U398" s="688">
        <f t="shared" si="443"/>
        <v>0</v>
      </c>
      <c r="V398" s="689"/>
      <c r="X398" s="95">
        <v>330</v>
      </c>
      <c r="Y398" s="101">
        <f t="shared" si="444"/>
        <v>0</v>
      </c>
      <c r="Z398" s="101">
        <f t="shared" si="445"/>
        <v>0</v>
      </c>
      <c r="AA398" s="101">
        <f t="shared" si="446"/>
        <v>0</v>
      </c>
      <c r="AB398" s="688">
        <f t="shared" si="447"/>
        <v>0</v>
      </c>
      <c r="AC398" s="689"/>
    </row>
    <row r="399" spans="3:29" x14ac:dyDescent="0.2">
      <c r="C399" s="95">
        <v>331</v>
      </c>
      <c r="D399" s="101" t="str">
        <f t="shared" si="432"/>
        <v>$0.00</v>
      </c>
      <c r="E399" s="101" t="str">
        <f t="shared" si="433"/>
        <v>$0.00</v>
      </c>
      <c r="F399" s="101" t="str">
        <f t="shared" si="434"/>
        <v>$0.00</v>
      </c>
      <c r="G399" s="688" t="str">
        <f t="shared" si="435"/>
        <v>$0.00</v>
      </c>
      <c r="H399" s="689"/>
      <c r="J399" s="95">
        <v>331</v>
      </c>
      <c r="K399" s="96">
        <f t="shared" si="436"/>
        <v>0</v>
      </c>
      <c r="L399" s="96">
        <f t="shared" si="437"/>
        <v>0</v>
      </c>
      <c r="M399" s="96">
        <f t="shared" si="438"/>
        <v>0</v>
      </c>
      <c r="N399" s="688">
        <f t="shared" si="439"/>
        <v>0</v>
      </c>
      <c r="O399" s="689"/>
      <c r="Q399" s="95">
        <v>331</v>
      </c>
      <c r="R399" s="101" t="str">
        <f t="shared" si="440"/>
        <v>$0.00</v>
      </c>
      <c r="S399" s="101" t="str">
        <f t="shared" si="441"/>
        <v>$0.00</v>
      </c>
      <c r="T399" s="101" t="str">
        <f t="shared" si="442"/>
        <v>$0.00</v>
      </c>
      <c r="U399" s="688" t="str">
        <f t="shared" si="443"/>
        <v>$0.00</v>
      </c>
      <c r="V399" s="689"/>
      <c r="X399" s="95">
        <v>331</v>
      </c>
      <c r="Y399" s="101" t="str">
        <f t="shared" si="444"/>
        <v>$0.00</v>
      </c>
      <c r="Z399" s="101" t="str">
        <f t="shared" si="445"/>
        <v>$0.00</v>
      </c>
      <c r="AA399" s="101" t="str">
        <f t="shared" si="446"/>
        <v>$0.00</v>
      </c>
      <c r="AB399" s="688" t="str">
        <f t="shared" si="447"/>
        <v>$0.00</v>
      </c>
      <c r="AC399" s="689"/>
    </row>
    <row r="400" spans="3:29" x14ac:dyDescent="0.2">
      <c r="C400" s="95">
        <v>332</v>
      </c>
      <c r="D400" s="101">
        <f t="shared" si="432"/>
        <v>0</v>
      </c>
      <c r="E400" s="101">
        <f t="shared" si="433"/>
        <v>0</v>
      </c>
      <c r="F400" s="101">
        <f t="shared" si="434"/>
        <v>0</v>
      </c>
      <c r="G400" s="688">
        <f t="shared" si="435"/>
        <v>0</v>
      </c>
      <c r="H400" s="689"/>
      <c r="J400" s="95">
        <v>332</v>
      </c>
      <c r="K400" s="96">
        <f t="shared" si="436"/>
        <v>0</v>
      </c>
      <c r="L400" s="96">
        <f t="shared" si="437"/>
        <v>0</v>
      </c>
      <c r="M400" s="96">
        <f t="shared" si="438"/>
        <v>0</v>
      </c>
      <c r="N400" s="688">
        <f t="shared" si="439"/>
        <v>0</v>
      </c>
      <c r="O400" s="689"/>
      <c r="Q400" s="95">
        <v>332</v>
      </c>
      <c r="R400" s="101">
        <f t="shared" si="440"/>
        <v>0</v>
      </c>
      <c r="S400" s="101">
        <f t="shared" si="441"/>
        <v>0</v>
      </c>
      <c r="T400" s="101">
        <f t="shared" si="442"/>
        <v>0</v>
      </c>
      <c r="U400" s="688">
        <f t="shared" si="443"/>
        <v>0</v>
      </c>
      <c r="V400" s="689"/>
      <c r="X400" s="95">
        <v>332</v>
      </c>
      <c r="Y400" s="101">
        <f t="shared" si="444"/>
        <v>0</v>
      </c>
      <c r="Z400" s="101">
        <f t="shared" si="445"/>
        <v>0</v>
      </c>
      <c r="AA400" s="101">
        <f t="shared" si="446"/>
        <v>0</v>
      </c>
      <c r="AB400" s="688">
        <f t="shared" si="447"/>
        <v>0</v>
      </c>
      <c r="AC400" s="689"/>
    </row>
    <row r="401" spans="3:29" x14ac:dyDescent="0.2">
      <c r="C401" s="95">
        <v>333</v>
      </c>
      <c r="D401" s="101" t="str">
        <f t="shared" si="432"/>
        <v>$0.00</v>
      </c>
      <c r="E401" s="101" t="str">
        <f t="shared" si="433"/>
        <v>$0.00</v>
      </c>
      <c r="F401" s="101" t="str">
        <f t="shared" si="434"/>
        <v>$0.00</v>
      </c>
      <c r="G401" s="688" t="str">
        <f t="shared" si="435"/>
        <v>$0.00</v>
      </c>
      <c r="H401" s="689"/>
      <c r="J401" s="95">
        <v>333</v>
      </c>
      <c r="K401" s="96">
        <f t="shared" si="436"/>
        <v>0</v>
      </c>
      <c r="L401" s="96">
        <f t="shared" si="437"/>
        <v>0</v>
      </c>
      <c r="M401" s="96">
        <f t="shared" si="438"/>
        <v>0</v>
      </c>
      <c r="N401" s="688">
        <f t="shared" si="439"/>
        <v>0</v>
      </c>
      <c r="O401" s="689"/>
      <c r="Q401" s="95">
        <v>333</v>
      </c>
      <c r="R401" s="101" t="str">
        <f t="shared" si="440"/>
        <v>$0.00</v>
      </c>
      <c r="S401" s="101" t="str">
        <f t="shared" si="441"/>
        <v>$0.00</v>
      </c>
      <c r="T401" s="101" t="str">
        <f t="shared" si="442"/>
        <v>$0.00</v>
      </c>
      <c r="U401" s="688" t="str">
        <f t="shared" si="443"/>
        <v>$0.00</v>
      </c>
      <c r="V401" s="689"/>
      <c r="X401" s="95">
        <v>333</v>
      </c>
      <c r="Y401" s="101" t="str">
        <f t="shared" si="444"/>
        <v>$0.00</v>
      </c>
      <c r="Z401" s="101" t="str">
        <f t="shared" si="445"/>
        <v>$0.00</v>
      </c>
      <c r="AA401" s="101" t="str">
        <f t="shared" si="446"/>
        <v>$0.00</v>
      </c>
      <c r="AB401" s="688" t="str">
        <f t="shared" si="447"/>
        <v>$0.00</v>
      </c>
      <c r="AC401" s="689"/>
    </row>
    <row r="402" spans="3:29" x14ac:dyDescent="0.2">
      <c r="C402" s="95">
        <v>334</v>
      </c>
      <c r="D402" s="101">
        <f t="shared" si="432"/>
        <v>0</v>
      </c>
      <c r="E402" s="101">
        <f t="shared" si="433"/>
        <v>0</v>
      </c>
      <c r="F402" s="101">
        <f t="shared" si="434"/>
        <v>0</v>
      </c>
      <c r="G402" s="688">
        <f t="shared" si="435"/>
        <v>0</v>
      </c>
      <c r="H402" s="689"/>
      <c r="J402" s="95">
        <v>334</v>
      </c>
      <c r="K402" s="96">
        <f t="shared" si="436"/>
        <v>0</v>
      </c>
      <c r="L402" s="96">
        <f t="shared" si="437"/>
        <v>0</v>
      </c>
      <c r="M402" s="96">
        <f t="shared" si="438"/>
        <v>0</v>
      </c>
      <c r="N402" s="688">
        <f t="shared" si="439"/>
        <v>0</v>
      </c>
      <c r="O402" s="689"/>
      <c r="Q402" s="95">
        <v>334</v>
      </c>
      <c r="R402" s="101">
        <f t="shared" si="440"/>
        <v>0</v>
      </c>
      <c r="S402" s="101">
        <f t="shared" si="441"/>
        <v>0</v>
      </c>
      <c r="T402" s="101">
        <f t="shared" si="442"/>
        <v>0</v>
      </c>
      <c r="U402" s="688">
        <f t="shared" si="443"/>
        <v>0</v>
      </c>
      <c r="V402" s="689"/>
      <c r="X402" s="95">
        <v>334</v>
      </c>
      <c r="Y402" s="101">
        <f t="shared" si="444"/>
        <v>0</v>
      </c>
      <c r="Z402" s="101">
        <f t="shared" si="445"/>
        <v>0</v>
      </c>
      <c r="AA402" s="101">
        <f t="shared" si="446"/>
        <v>0</v>
      </c>
      <c r="AB402" s="688">
        <f t="shared" si="447"/>
        <v>0</v>
      </c>
      <c r="AC402" s="689"/>
    </row>
    <row r="403" spans="3:29" x14ac:dyDescent="0.2">
      <c r="C403" s="95">
        <v>335</v>
      </c>
      <c r="D403" s="101" t="str">
        <f t="shared" si="432"/>
        <v>$0.00</v>
      </c>
      <c r="E403" s="101" t="str">
        <f t="shared" si="433"/>
        <v>$0.00</v>
      </c>
      <c r="F403" s="101" t="str">
        <f t="shared" si="434"/>
        <v>$0.00</v>
      </c>
      <c r="G403" s="688" t="str">
        <f t="shared" si="435"/>
        <v>$0.00</v>
      </c>
      <c r="H403" s="689"/>
      <c r="J403" s="95">
        <v>335</v>
      </c>
      <c r="K403" s="96">
        <f t="shared" si="436"/>
        <v>0</v>
      </c>
      <c r="L403" s="96">
        <f t="shared" si="437"/>
        <v>0</v>
      </c>
      <c r="M403" s="96">
        <f t="shared" si="438"/>
        <v>0</v>
      </c>
      <c r="N403" s="688">
        <f t="shared" si="439"/>
        <v>0</v>
      </c>
      <c r="O403" s="689"/>
      <c r="Q403" s="95">
        <v>335</v>
      </c>
      <c r="R403" s="101" t="str">
        <f t="shared" si="440"/>
        <v>$0.00</v>
      </c>
      <c r="S403" s="101" t="str">
        <f t="shared" si="441"/>
        <v>$0.00</v>
      </c>
      <c r="T403" s="101" t="str">
        <f t="shared" si="442"/>
        <v>$0.00</v>
      </c>
      <c r="U403" s="688" t="str">
        <f t="shared" si="443"/>
        <v>$0.00</v>
      </c>
      <c r="V403" s="689"/>
      <c r="X403" s="95">
        <v>335</v>
      </c>
      <c r="Y403" s="101" t="str">
        <f t="shared" si="444"/>
        <v>$0.00</v>
      </c>
      <c r="Z403" s="101" t="str">
        <f t="shared" si="445"/>
        <v>$0.00</v>
      </c>
      <c r="AA403" s="101" t="str">
        <f t="shared" si="446"/>
        <v>$0.00</v>
      </c>
      <c r="AB403" s="688" t="str">
        <f t="shared" si="447"/>
        <v>$0.00</v>
      </c>
      <c r="AC403" s="689"/>
    </row>
    <row r="404" spans="3:29" x14ac:dyDescent="0.2">
      <c r="C404" s="95">
        <v>336</v>
      </c>
      <c r="D404" s="101">
        <f t="shared" si="432"/>
        <v>0</v>
      </c>
      <c r="E404" s="101">
        <f t="shared" si="433"/>
        <v>0</v>
      </c>
      <c r="F404" s="101">
        <f t="shared" si="434"/>
        <v>0</v>
      </c>
      <c r="G404" s="690">
        <f t="shared" si="435"/>
        <v>0</v>
      </c>
      <c r="H404" s="691"/>
      <c r="J404" s="95">
        <v>336</v>
      </c>
      <c r="K404" s="96">
        <f t="shared" si="436"/>
        <v>0</v>
      </c>
      <c r="L404" s="96">
        <f t="shared" si="437"/>
        <v>0</v>
      </c>
      <c r="M404" s="96">
        <f t="shared" si="438"/>
        <v>0</v>
      </c>
      <c r="N404" s="690">
        <f t="shared" si="439"/>
        <v>0</v>
      </c>
      <c r="O404" s="691"/>
      <c r="Q404" s="95">
        <v>336</v>
      </c>
      <c r="R404" s="101">
        <f t="shared" si="440"/>
        <v>0</v>
      </c>
      <c r="S404" s="101">
        <f t="shared" si="441"/>
        <v>0</v>
      </c>
      <c r="T404" s="101">
        <f t="shared" si="442"/>
        <v>0</v>
      </c>
      <c r="U404" s="690">
        <f t="shared" si="443"/>
        <v>0</v>
      </c>
      <c r="V404" s="691"/>
      <c r="X404" s="95">
        <v>336</v>
      </c>
      <c r="Y404" s="101">
        <f t="shared" si="444"/>
        <v>0</v>
      </c>
      <c r="Z404" s="101">
        <f t="shared" si="445"/>
        <v>0</v>
      </c>
      <c r="AA404" s="101">
        <f t="shared" si="446"/>
        <v>0</v>
      </c>
      <c r="AB404" s="690">
        <f t="shared" si="447"/>
        <v>0</v>
      </c>
      <c r="AC404" s="691"/>
    </row>
    <row r="405" spans="3:29" x14ac:dyDescent="0.2">
      <c r="C405" s="97" t="s">
        <v>819</v>
      </c>
      <c r="D405" s="104">
        <f>SUM(D393:D404)</f>
        <v>0</v>
      </c>
      <c r="E405" s="104">
        <f>SUM(E393:E404)</f>
        <v>0</v>
      </c>
      <c r="F405" s="104">
        <f>SUM(F393:F404)</f>
        <v>0</v>
      </c>
      <c r="G405" s="692">
        <f>G404</f>
        <v>0</v>
      </c>
      <c r="H405" s="693"/>
      <c r="J405" s="97" t="s">
        <v>819</v>
      </c>
      <c r="K405" s="86">
        <f>SUM(K393:K404)</f>
        <v>0</v>
      </c>
      <c r="L405" s="86">
        <f>SUM(L393:L404)</f>
        <v>0</v>
      </c>
      <c r="M405" s="86">
        <f>SUM(M393:M404)</f>
        <v>0</v>
      </c>
      <c r="N405" s="692">
        <f>N404</f>
        <v>0</v>
      </c>
      <c r="O405" s="711"/>
      <c r="Q405" s="97" t="s">
        <v>819</v>
      </c>
      <c r="R405" s="104">
        <f>SUM(R393:R404)</f>
        <v>0</v>
      </c>
      <c r="S405" s="104">
        <f>SUM(S393:S404)</f>
        <v>0</v>
      </c>
      <c r="T405" s="104">
        <f>SUM(T393:T404)</f>
        <v>0</v>
      </c>
      <c r="U405" s="692">
        <f>U404</f>
        <v>0</v>
      </c>
      <c r="V405" s="693"/>
      <c r="X405" s="97" t="s">
        <v>819</v>
      </c>
      <c r="Y405" s="104">
        <f>SUM(Y393:Y404)</f>
        <v>0</v>
      </c>
      <c r="Z405" s="104">
        <f>SUM(Z393:Z404)</f>
        <v>0</v>
      </c>
      <c r="AA405" s="104">
        <f>SUM(AA393:AA404)</f>
        <v>0</v>
      </c>
      <c r="AB405" s="692">
        <f>AB404</f>
        <v>0</v>
      </c>
      <c r="AC405" s="693"/>
    </row>
    <row r="406" spans="3:29" x14ac:dyDescent="0.2">
      <c r="C406" s="95">
        <v>337</v>
      </c>
      <c r="D406" s="101" t="str">
        <f t="shared" ref="D406:D417" si="448">IF(G405&gt;0,G405*($E$36)/12,"$0.00")</f>
        <v>$0.00</v>
      </c>
      <c r="E406" s="101" t="str">
        <f t="shared" ref="E406:E417" si="449">IF(G405&gt;0,IF($E$38=4,"$0.00",IF($E$38=3,"$0.00",IF($E$38=2,"$0.00",+$G$39-D406))),"$0.00")</f>
        <v>$0.00</v>
      </c>
      <c r="F406" s="101" t="str">
        <f t="shared" ref="F406:F417" si="450">IF(G405=0,"$0.00",IF($E$38=4,"$0.00",IF($E$38=3,"$0.00",IF($E$38=2,D406,D406+E406))))</f>
        <v>$0.00</v>
      </c>
      <c r="G406" s="688" t="str">
        <f t="shared" ref="G406:G417" si="451">IF(G405=0,"$0.00",IF($E$38=4,G405+D406,IF($E$38=3,G405+D406,IF($E$38=2,G405,G405-E406))))</f>
        <v>$0.00</v>
      </c>
      <c r="H406" s="689"/>
      <c r="J406" s="95">
        <v>337</v>
      </c>
      <c r="K406" s="96">
        <f t="shared" ref="K406:K417" si="452">N405*($L$36)/12</f>
        <v>0</v>
      </c>
      <c r="L406" s="96">
        <f t="shared" ref="L406:L417" si="453">IF(L402=4,"$0.00",+$N$39-K406)</f>
        <v>0</v>
      </c>
      <c r="M406" s="96">
        <f t="shared" ref="M406:M417" si="454">IF(L402=4,"$0.00",K406+L406)</f>
        <v>0</v>
      </c>
      <c r="N406" s="709">
        <f t="shared" ref="N406:N417" si="455">IF(L402=4,N405+K406,N405-L406)</f>
        <v>0</v>
      </c>
      <c r="O406" s="710"/>
      <c r="Q406" s="95">
        <v>337</v>
      </c>
      <c r="R406" s="101" t="str">
        <f t="shared" ref="R406:R417" si="456">IF(U405&gt;0,U405*($S$36)/12,"$0.00")</f>
        <v>$0.00</v>
      </c>
      <c r="S406" s="101" t="str">
        <f t="shared" ref="S406:S417" si="457">IF(U405&gt;0,IF($S$38=4,"$0.00",IF($S$38=3,"$0.00",IF($S$38=2,"$0.00",+$U$39-R406))),"$0.00")</f>
        <v>$0.00</v>
      </c>
      <c r="T406" s="101" t="str">
        <f t="shared" ref="T406:T417" si="458">IF(U405=0,"$0.00",IF($S$38=4,"$0.00",IF($S$38=3,"$0.00",IF($S$38=2,R406,R406+S406))))</f>
        <v>$0.00</v>
      </c>
      <c r="U406" s="688" t="str">
        <f t="shared" ref="U406:U417" si="459">IF(U405=0,"$0.00",IF($S$38=4,U405+R406,IF($S$38=3,U405+R406,IF($S$38=2,U405,U405-S406))))</f>
        <v>$0.00</v>
      </c>
      <c r="V406" s="689"/>
      <c r="X406" s="95">
        <v>337</v>
      </c>
      <c r="Y406" s="101" t="str">
        <f t="shared" ref="Y406:Y417" si="460">IF(AB405&gt;0,AB405*($Z$36)/12,"$0.00")</f>
        <v>$0.00</v>
      </c>
      <c r="Z406" s="101" t="str">
        <f t="shared" ref="Z406:Z417" si="461">IF(AB405&gt;0,IF($Z$38=4,"$0.00",IF($Z$38=3,"$0.00",IF($Z$38=2,"$0.00",+$AB$39-Y406))),"$0.00")</f>
        <v>$0.00</v>
      </c>
      <c r="AA406" s="101" t="str">
        <f t="shared" ref="AA406:AA417" si="462">IF(AB405=0,"$0.00",IF($Z$38=4,"$0.00",IF($Z$38=3,"$0.00",IF($Z$38=2,Y406,Y406+Z406))))</f>
        <v>$0.00</v>
      </c>
      <c r="AB406" s="688" t="str">
        <f t="shared" ref="AB406:AB417" si="463">IF(AB405=0,"$0.00",IF($Z$38=4,AB405+Y406,IF($Z$38=3,AB405+Y406,IF($Z$38=2,AB405,AB405-Z406))))</f>
        <v>$0.00</v>
      </c>
      <c r="AC406" s="689"/>
    </row>
    <row r="407" spans="3:29" x14ac:dyDescent="0.2">
      <c r="C407" s="95">
        <v>338</v>
      </c>
      <c r="D407" s="101">
        <f t="shared" si="448"/>
        <v>0</v>
      </c>
      <c r="E407" s="101">
        <f t="shared" si="449"/>
        <v>0</v>
      </c>
      <c r="F407" s="101">
        <f t="shared" si="450"/>
        <v>0</v>
      </c>
      <c r="G407" s="688">
        <f t="shared" si="451"/>
        <v>0</v>
      </c>
      <c r="H407" s="689"/>
      <c r="J407" s="95">
        <v>338</v>
      </c>
      <c r="K407" s="96">
        <f t="shared" si="452"/>
        <v>0</v>
      </c>
      <c r="L407" s="96">
        <f t="shared" si="453"/>
        <v>0</v>
      </c>
      <c r="M407" s="96">
        <f t="shared" si="454"/>
        <v>0</v>
      </c>
      <c r="N407" s="688">
        <f t="shared" si="455"/>
        <v>0</v>
      </c>
      <c r="O407" s="689"/>
      <c r="Q407" s="95">
        <v>338</v>
      </c>
      <c r="R407" s="101">
        <f t="shared" si="456"/>
        <v>0</v>
      </c>
      <c r="S407" s="101">
        <f t="shared" si="457"/>
        <v>0</v>
      </c>
      <c r="T407" s="101">
        <f t="shared" si="458"/>
        <v>0</v>
      </c>
      <c r="U407" s="688">
        <f t="shared" si="459"/>
        <v>0</v>
      </c>
      <c r="V407" s="689"/>
      <c r="X407" s="95">
        <v>338</v>
      </c>
      <c r="Y407" s="101">
        <f t="shared" si="460"/>
        <v>0</v>
      </c>
      <c r="Z407" s="101">
        <f t="shared" si="461"/>
        <v>0</v>
      </c>
      <c r="AA407" s="101">
        <f t="shared" si="462"/>
        <v>0</v>
      </c>
      <c r="AB407" s="688">
        <f t="shared" si="463"/>
        <v>0</v>
      </c>
      <c r="AC407" s="689"/>
    </row>
    <row r="408" spans="3:29" x14ac:dyDescent="0.2">
      <c r="C408" s="95">
        <v>339</v>
      </c>
      <c r="D408" s="101" t="str">
        <f t="shared" si="448"/>
        <v>$0.00</v>
      </c>
      <c r="E408" s="101" t="str">
        <f t="shared" si="449"/>
        <v>$0.00</v>
      </c>
      <c r="F408" s="101" t="str">
        <f t="shared" si="450"/>
        <v>$0.00</v>
      </c>
      <c r="G408" s="688" t="str">
        <f t="shared" si="451"/>
        <v>$0.00</v>
      </c>
      <c r="H408" s="689"/>
      <c r="J408" s="95">
        <v>339</v>
      </c>
      <c r="K408" s="96">
        <f t="shared" si="452"/>
        <v>0</v>
      </c>
      <c r="L408" s="96">
        <f t="shared" si="453"/>
        <v>0</v>
      </c>
      <c r="M408" s="96">
        <f t="shared" si="454"/>
        <v>0</v>
      </c>
      <c r="N408" s="688">
        <f t="shared" si="455"/>
        <v>0</v>
      </c>
      <c r="O408" s="689"/>
      <c r="Q408" s="95">
        <v>339</v>
      </c>
      <c r="R408" s="101" t="str">
        <f t="shared" si="456"/>
        <v>$0.00</v>
      </c>
      <c r="S408" s="101" t="str">
        <f t="shared" si="457"/>
        <v>$0.00</v>
      </c>
      <c r="T408" s="101" t="str">
        <f t="shared" si="458"/>
        <v>$0.00</v>
      </c>
      <c r="U408" s="688" t="str">
        <f t="shared" si="459"/>
        <v>$0.00</v>
      </c>
      <c r="V408" s="689"/>
      <c r="X408" s="95">
        <v>339</v>
      </c>
      <c r="Y408" s="101" t="str">
        <f t="shared" si="460"/>
        <v>$0.00</v>
      </c>
      <c r="Z408" s="101" t="str">
        <f t="shared" si="461"/>
        <v>$0.00</v>
      </c>
      <c r="AA408" s="101" t="str">
        <f t="shared" si="462"/>
        <v>$0.00</v>
      </c>
      <c r="AB408" s="688" t="str">
        <f t="shared" si="463"/>
        <v>$0.00</v>
      </c>
      <c r="AC408" s="689"/>
    </row>
    <row r="409" spans="3:29" x14ac:dyDescent="0.2">
      <c r="C409" s="95">
        <v>340</v>
      </c>
      <c r="D409" s="101">
        <f t="shared" si="448"/>
        <v>0</v>
      </c>
      <c r="E409" s="101">
        <f t="shared" si="449"/>
        <v>0</v>
      </c>
      <c r="F409" s="101">
        <f t="shared" si="450"/>
        <v>0</v>
      </c>
      <c r="G409" s="688">
        <f t="shared" si="451"/>
        <v>0</v>
      </c>
      <c r="H409" s="689"/>
      <c r="J409" s="95">
        <v>340</v>
      </c>
      <c r="K409" s="96">
        <f t="shared" si="452"/>
        <v>0</v>
      </c>
      <c r="L409" s="96">
        <f t="shared" si="453"/>
        <v>0</v>
      </c>
      <c r="M409" s="96">
        <f t="shared" si="454"/>
        <v>0</v>
      </c>
      <c r="N409" s="688">
        <f t="shared" si="455"/>
        <v>0</v>
      </c>
      <c r="O409" s="689"/>
      <c r="Q409" s="95">
        <v>340</v>
      </c>
      <c r="R409" s="101">
        <f t="shared" si="456"/>
        <v>0</v>
      </c>
      <c r="S409" s="101">
        <f t="shared" si="457"/>
        <v>0</v>
      </c>
      <c r="T409" s="101">
        <f t="shared" si="458"/>
        <v>0</v>
      </c>
      <c r="U409" s="688">
        <f t="shared" si="459"/>
        <v>0</v>
      </c>
      <c r="V409" s="689"/>
      <c r="X409" s="95">
        <v>340</v>
      </c>
      <c r="Y409" s="101">
        <f t="shared" si="460"/>
        <v>0</v>
      </c>
      <c r="Z409" s="101">
        <f t="shared" si="461"/>
        <v>0</v>
      </c>
      <c r="AA409" s="101">
        <f t="shared" si="462"/>
        <v>0</v>
      </c>
      <c r="AB409" s="688">
        <f t="shared" si="463"/>
        <v>0</v>
      </c>
      <c r="AC409" s="689"/>
    </row>
    <row r="410" spans="3:29" x14ac:dyDescent="0.2">
      <c r="C410" s="95">
        <v>341</v>
      </c>
      <c r="D410" s="101" t="str">
        <f t="shared" si="448"/>
        <v>$0.00</v>
      </c>
      <c r="E410" s="101" t="str">
        <f t="shared" si="449"/>
        <v>$0.00</v>
      </c>
      <c r="F410" s="101" t="str">
        <f t="shared" si="450"/>
        <v>$0.00</v>
      </c>
      <c r="G410" s="688" t="str">
        <f t="shared" si="451"/>
        <v>$0.00</v>
      </c>
      <c r="H410" s="689"/>
      <c r="J410" s="95">
        <v>341</v>
      </c>
      <c r="K410" s="96">
        <f t="shared" si="452"/>
        <v>0</v>
      </c>
      <c r="L410" s="96">
        <f t="shared" si="453"/>
        <v>0</v>
      </c>
      <c r="M410" s="96">
        <f t="shared" si="454"/>
        <v>0</v>
      </c>
      <c r="N410" s="688">
        <f t="shared" si="455"/>
        <v>0</v>
      </c>
      <c r="O410" s="689"/>
      <c r="Q410" s="95">
        <v>341</v>
      </c>
      <c r="R410" s="101" t="str">
        <f t="shared" si="456"/>
        <v>$0.00</v>
      </c>
      <c r="S410" s="101" t="str">
        <f t="shared" si="457"/>
        <v>$0.00</v>
      </c>
      <c r="T410" s="101" t="str">
        <f t="shared" si="458"/>
        <v>$0.00</v>
      </c>
      <c r="U410" s="688" t="str">
        <f t="shared" si="459"/>
        <v>$0.00</v>
      </c>
      <c r="V410" s="689"/>
      <c r="X410" s="95">
        <v>341</v>
      </c>
      <c r="Y410" s="101" t="str">
        <f t="shared" si="460"/>
        <v>$0.00</v>
      </c>
      <c r="Z410" s="101" t="str">
        <f t="shared" si="461"/>
        <v>$0.00</v>
      </c>
      <c r="AA410" s="101" t="str">
        <f t="shared" si="462"/>
        <v>$0.00</v>
      </c>
      <c r="AB410" s="688" t="str">
        <f t="shared" si="463"/>
        <v>$0.00</v>
      </c>
      <c r="AC410" s="689"/>
    </row>
    <row r="411" spans="3:29" x14ac:dyDescent="0.2">
      <c r="C411" s="95">
        <v>342</v>
      </c>
      <c r="D411" s="101">
        <f t="shared" si="448"/>
        <v>0</v>
      </c>
      <c r="E411" s="101">
        <f t="shared" si="449"/>
        <v>0</v>
      </c>
      <c r="F411" s="101">
        <f t="shared" si="450"/>
        <v>0</v>
      </c>
      <c r="G411" s="688">
        <f t="shared" si="451"/>
        <v>0</v>
      </c>
      <c r="H411" s="689"/>
      <c r="J411" s="95">
        <v>342</v>
      </c>
      <c r="K411" s="96">
        <f t="shared" si="452"/>
        <v>0</v>
      </c>
      <c r="L411" s="96">
        <f t="shared" si="453"/>
        <v>0</v>
      </c>
      <c r="M411" s="96">
        <f t="shared" si="454"/>
        <v>0</v>
      </c>
      <c r="N411" s="688">
        <f t="shared" si="455"/>
        <v>0</v>
      </c>
      <c r="O411" s="689"/>
      <c r="Q411" s="95">
        <v>342</v>
      </c>
      <c r="R411" s="101">
        <f t="shared" si="456"/>
        <v>0</v>
      </c>
      <c r="S411" s="101">
        <f t="shared" si="457"/>
        <v>0</v>
      </c>
      <c r="T411" s="101">
        <f t="shared" si="458"/>
        <v>0</v>
      </c>
      <c r="U411" s="688">
        <f t="shared" si="459"/>
        <v>0</v>
      </c>
      <c r="V411" s="689"/>
      <c r="X411" s="95">
        <v>342</v>
      </c>
      <c r="Y411" s="101">
        <f t="shared" si="460"/>
        <v>0</v>
      </c>
      <c r="Z411" s="101">
        <f t="shared" si="461"/>
        <v>0</v>
      </c>
      <c r="AA411" s="101">
        <f t="shared" si="462"/>
        <v>0</v>
      </c>
      <c r="AB411" s="688">
        <f t="shared" si="463"/>
        <v>0</v>
      </c>
      <c r="AC411" s="689"/>
    </row>
    <row r="412" spans="3:29" x14ac:dyDescent="0.2">
      <c r="C412" s="95">
        <v>343</v>
      </c>
      <c r="D412" s="101" t="str">
        <f t="shared" si="448"/>
        <v>$0.00</v>
      </c>
      <c r="E412" s="101" t="str">
        <f t="shared" si="449"/>
        <v>$0.00</v>
      </c>
      <c r="F412" s="101" t="str">
        <f t="shared" si="450"/>
        <v>$0.00</v>
      </c>
      <c r="G412" s="688" t="str">
        <f t="shared" si="451"/>
        <v>$0.00</v>
      </c>
      <c r="H412" s="689"/>
      <c r="J412" s="95">
        <v>343</v>
      </c>
      <c r="K412" s="96">
        <f t="shared" si="452"/>
        <v>0</v>
      </c>
      <c r="L412" s="96">
        <f t="shared" si="453"/>
        <v>0</v>
      </c>
      <c r="M412" s="96">
        <f t="shared" si="454"/>
        <v>0</v>
      </c>
      <c r="N412" s="688">
        <f t="shared" si="455"/>
        <v>0</v>
      </c>
      <c r="O412" s="689"/>
      <c r="Q412" s="95">
        <v>343</v>
      </c>
      <c r="R412" s="101" t="str">
        <f t="shared" si="456"/>
        <v>$0.00</v>
      </c>
      <c r="S412" s="101" t="str">
        <f t="shared" si="457"/>
        <v>$0.00</v>
      </c>
      <c r="T412" s="101" t="str">
        <f t="shared" si="458"/>
        <v>$0.00</v>
      </c>
      <c r="U412" s="688" t="str">
        <f t="shared" si="459"/>
        <v>$0.00</v>
      </c>
      <c r="V412" s="689"/>
      <c r="X412" s="95">
        <v>343</v>
      </c>
      <c r="Y412" s="101" t="str">
        <f t="shared" si="460"/>
        <v>$0.00</v>
      </c>
      <c r="Z412" s="101" t="str">
        <f t="shared" si="461"/>
        <v>$0.00</v>
      </c>
      <c r="AA412" s="101" t="str">
        <f t="shared" si="462"/>
        <v>$0.00</v>
      </c>
      <c r="AB412" s="688" t="str">
        <f t="shared" si="463"/>
        <v>$0.00</v>
      </c>
      <c r="AC412" s="689"/>
    </row>
    <row r="413" spans="3:29" x14ac:dyDescent="0.2">
      <c r="C413" s="95">
        <v>344</v>
      </c>
      <c r="D413" s="101">
        <f t="shared" si="448"/>
        <v>0</v>
      </c>
      <c r="E413" s="101">
        <f t="shared" si="449"/>
        <v>0</v>
      </c>
      <c r="F413" s="101">
        <f t="shared" si="450"/>
        <v>0</v>
      </c>
      <c r="G413" s="688">
        <f t="shared" si="451"/>
        <v>0</v>
      </c>
      <c r="H413" s="689"/>
      <c r="J413" s="95">
        <v>344</v>
      </c>
      <c r="K413" s="96">
        <f t="shared" si="452"/>
        <v>0</v>
      </c>
      <c r="L413" s="96">
        <f t="shared" si="453"/>
        <v>0</v>
      </c>
      <c r="M413" s="96">
        <f t="shared" si="454"/>
        <v>0</v>
      </c>
      <c r="N413" s="688">
        <f t="shared" si="455"/>
        <v>0</v>
      </c>
      <c r="O413" s="689"/>
      <c r="Q413" s="95">
        <v>344</v>
      </c>
      <c r="R413" s="101">
        <f t="shared" si="456"/>
        <v>0</v>
      </c>
      <c r="S413" s="101">
        <f t="shared" si="457"/>
        <v>0</v>
      </c>
      <c r="T413" s="101">
        <f t="shared" si="458"/>
        <v>0</v>
      </c>
      <c r="U413" s="688">
        <f t="shared" si="459"/>
        <v>0</v>
      </c>
      <c r="V413" s="689"/>
      <c r="X413" s="95">
        <v>344</v>
      </c>
      <c r="Y413" s="101">
        <f t="shared" si="460"/>
        <v>0</v>
      </c>
      <c r="Z413" s="101">
        <f t="shared" si="461"/>
        <v>0</v>
      </c>
      <c r="AA413" s="101">
        <f t="shared" si="462"/>
        <v>0</v>
      </c>
      <c r="AB413" s="688">
        <f t="shared" si="463"/>
        <v>0</v>
      </c>
      <c r="AC413" s="689"/>
    </row>
    <row r="414" spans="3:29" x14ac:dyDescent="0.2">
      <c r="C414" s="95">
        <v>345</v>
      </c>
      <c r="D414" s="101" t="str">
        <f t="shared" si="448"/>
        <v>$0.00</v>
      </c>
      <c r="E414" s="101" t="str">
        <f t="shared" si="449"/>
        <v>$0.00</v>
      </c>
      <c r="F414" s="101" t="str">
        <f t="shared" si="450"/>
        <v>$0.00</v>
      </c>
      <c r="G414" s="688" t="str">
        <f t="shared" si="451"/>
        <v>$0.00</v>
      </c>
      <c r="H414" s="689"/>
      <c r="J414" s="95">
        <v>345</v>
      </c>
      <c r="K414" s="96">
        <f t="shared" si="452"/>
        <v>0</v>
      </c>
      <c r="L414" s="96">
        <f t="shared" si="453"/>
        <v>0</v>
      </c>
      <c r="M414" s="96">
        <f t="shared" si="454"/>
        <v>0</v>
      </c>
      <c r="N414" s="688">
        <f t="shared" si="455"/>
        <v>0</v>
      </c>
      <c r="O414" s="689"/>
      <c r="Q414" s="95">
        <v>345</v>
      </c>
      <c r="R414" s="101" t="str">
        <f t="shared" si="456"/>
        <v>$0.00</v>
      </c>
      <c r="S414" s="101" t="str">
        <f t="shared" si="457"/>
        <v>$0.00</v>
      </c>
      <c r="T414" s="101" t="str">
        <f t="shared" si="458"/>
        <v>$0.00</v>
      </c>
      <c r="U414" s="688" t="str">
        <f t="shared" si="459"/>
        <v>$0.00</v>
      </c>
      <c r="V414" s="689"/>
      <c r="X414" s="95">
        <v>345</v>
      </c>
      <c r="Y414" s="101" t="str">
        <f t="shared" si="460"/>
        <v>$0.00</v>
      </c>
      <c r="Z414" s="101" t="str">
        <f t="shared" si="461"/>
        <v>$0.00</v>
      </c>
      <c r="AA414" s="101" t="str">
        <f t="shared" si="462"/>
        <v>$0.00</v>
      </c>
      <c r="AB414" s="688" t="str">
        <f t="shared" si="463"/>
        <v>$0.00</v>
      </c>
      <c r="AC414" s="689"/>
    </row>
    <row r="415" spans="3:29" x14ac:dyDescent="0.2">
      <c r="C415" s="95">
        <v>346</v>
      </c>
      <c r="D415" s="101">
        <f t="shared" si="448"/>
        <v>0</v>
      </c>
      <c r="E415" s="101">
        <f t="shared" si="449"/>
        <v>0</v>
      </c>
      <c r="F415" s="101">
        <f t="shared" si="450"/>
        <v>0</v>
      </c>
      <c r="G415" s="688">
        <f t="shared" si="451"/>
        <v>0</v>
      </c>
      <c r="H415" s="689"/>
      <c r="J415" s="95">
        <v>346</v>
      </c>
      <c r="K415" s="96">
        <f t="shared" si="452"/>
        <v>0</v>
      </c>
      <c r="L415" s="96">
        <f t="shared" si="453"/>
        <v>0</v>
      </c>
      <c r="M415" s="96">
        <f t="shared" si="454"/>
        <v>0</v>
      </c>
      <c r="N415" s="688">
        <f t="shared" si="455"/>
        <v>0</v>
      </c>
      <c r="O415" s="689"/>
      <c r="Q415" s="95">
        <v>346</v>
      </c>
      <c r="R415" s="101">
        <f t="shared" si="456"/>
        <v>0</v>
      </c>
      <c r="S415" s="101">
        <f t="shared" si="457"/>
        <v>0</v>
      </c>
      <c r="T415" s="101">
        <f t="shared" si="458"/>
        <v>0</v>
      </c>
      <c r="U415" s="688">
        <f t="shared" si="459"/>
        <v>0</v>
      </c>
      <c r="V415" s="689"/>
      <c r="X415" s="95">
        <v>346</v>
      </c>
      <c r="Y415" s="101">
        <f t="shared" si="460"/>
        <v>0</v>
      </c>
      <c r="Z415" s="101">
        <f t="shared" si="461"/>
        <v>0</v>
      </c>
      <c r="AA415" s="101">
        <f t="shared" si="462"/>
        <v>0</v>
      </c>
      <c r="AB415" s="688">
        <f t="shared" si="463"/>
        <v>0</v>
      </c>
      <c r="AC415" s="689"/>
    </row>
    <row r="416" spans="3:29" x14ac:dyDescent="0.2">
      <c r="C416" s="95">
        <v>347</v>
      </c>
      <c r="D416" s="101" t="str">
        <f t="shared" si="448"/>
        <v>$0.00</v>
      </c>
      <c r="E416" s="101" t="str">
        <f t="shared" si="449"/>
        <v>$0.00</v>
      </c>
      <c r="F416" s="101" t="str">
        <f t="shared" si="450"/>
        <v>$0.00</v>
      </c>
      <c r="G416" s="688" t="str">
        <f t="shared" si="451"/>
        <v>$0.00</v>
      </c>
      <c r="H416" s="689"/>
      <c r="J416" s="95">
        <v>347</v>
      </c>
      <c r="K416" s="96">
        <f t="shared" si="452"/>
        <v>0</v>
      </c>
      <c r="L416" s="96">
        <f t="shared" si="453"/>
        <v>0</v>
      </c>
      <c r="M416" s="96">
        <f t="shared" si="454"/>
        <v>0</v>
      </c>
      <c r="N416" s="688">
        <f t="shared" si="455"/>
        <v>0</v>
      </c>
      <c r="O416" s="689"/>
      <c r="Q416" s="95">
        <v>347</v>
      </c>
      <c r="R416" s="101" t="str">
        <f t="shared" si="456"/>
        <v>$0.00</v>
      </c>
      <c r="S416" s="101" t="str">
        <f t="shared" si="457"/>
        <v>$0.00</v>
      </c>
      <c r="T416" s="101" t="str">
        <f t="shared" si="458"/>
        <v>$0.00</v>
      </c>
      <c r="U416" s="688" t="str">
        <f t="shared" si="459"/>
        <v>$0.00</v>
      </c>
      <c r="V416" s="689"/>
      <c r="X416" s="95">
        <v>347</v>
      </c>
      <c r="Y416" s="101" t="str">
        <f t="shared" si="460"/>
        <v>$0.00</v>
      </c>
      <c r="Z416" s="101" t="str">
        <f t="shared" si="461"/>
        <v>$0.00</v>
      </c>
      <c r="AA416" s="101" t="str">
        <f t="shared" si="462"/>
        <v>$0.00</v>
      </c>
      <c r="AB416" s="688" t="str">
        <f t="shared" si="463"/>
        <v>$0.00</v>
      </c>
      <c r="AC416" s="689"/>
    </row>
    <row r="417" spans="3:29" x14ac:dyDescent="0.2">
      <c r="C417" s="95">
        <v>348</v>
      </c>
      <c r="D417" s="101">
        <f t="shared" si="448"/>
        <v>0</v>
      </c>
      <c r="E417" s="101">
        <f t="shared" si="449"/>
        <v>0</v>
      </c>
      <c r="F417" s="101">
        <f t="shared" si="450"/>
        <v>0</v>
      </c>
      <c r="G417" s="690">
        <f t="shared" si="451"/>
        <v>0</v>
      </c>
      <c r="H417" s="691"/>
      <c r="J417" s="95">
        <v>348</v>
      </c>
      <c r="K417" s="96">
        <f t="shared" si="452"/>
        <v>0</v>
      </c>
      <c r="L417" s="96">
        <f t="shared" si="453"/>
        <v>0</v>
      </c>
      <c r="M417" s="96">
        <f t="shared" si="454"/>
        <v>0</v>
      </c>
      <c r="N417" s="690">
        <f t="shared" si="455"/>
        <v>0</v>
      </c>
      <c r="O417" s="691"/>
      <c r="Q417" s="95">
        <v>348</v>
      </c>
      <c r="R417" s="101">
        <f t="shared" si="456"/>
        <v>0</v>
      </c>
      <c r="S417" s="101">
        <f t="shared" si="457"/>
        <v>0</v>
      </c>
      <c r="T417" s="101">
        <f t="shared" si="458"/>
        <v>0</v>
      </c>
      <c r="U417" s="690">
        <f t="shared" si="459"/>
        <v>0</v>
      </c>
      <c r="V417" s="691"/>
      <c r="X417" s="95">
        <v>348</v>
      </c>
      <c r="Y417" s="101">
        <f t="shared" si="460"/>
        <v>0</v>
      </c>
      <c r="Z417" s="101">
        <f t="shared" si="461"/>
        <v>0</v>
      </c>
      <c r="AA417" s="101">
        <f t="shared" si="462"/>
        <v>0</v>
      </c>
      <c r="AB417" s="690">
        <f t="shared" si="463"/>
        <v>0</v>
      </c>
      <c r="AC417" s="691"/>
    </row>
    <row r="418" spans="3:29" x14ac:dyDescent="0.2">
      <c r="C418" s="97" t="s">
        <v>820</v>
      </c>
      <c r="D418" s="104">
        <f>SUM(D406:D417)</f>
        <v>0</v>
      </c>
      <c r="E418" s="104">
        <f>SUM(E406:E417)</f>
        <v>0</v>
      </c>
      <c r="F418" s="104">
        <f>SUM(F406:F417)</f>
        <v>0</v>
      </c>
      <c r="G418" s="692">
        <f>G417</f>
        <v>0</v>
      </c>
      <c r="H418" s="693"/>
      <c r="J418" s="97" t="s">
        <v>820</v>
      </c>
      <c r="K418" s="86">
        <f>SUM(K406:K417)</f>
        <v>0</v>
      </c>
      <c r="L418" s="86">
        <f>SUM(L406:L417)</f>
        <v>0</v>
      </c>
      <c r="M418" s="86">
        <f>SUM(M406:M417)</f>
        <v>0</v>
      </c>
      <c r="N418" s="692">
        <f>N417</f>
        <v>0</v>
      </c>
      <c r="O418" s="711"/>
      <c r="Q418" s="97" t="s">
        <v>820</v>
      </c>
      <c r="R418" s="104">
        <f>SUM(R406:R417)</f>
        <v>0</v>
      </c>
      <c r="S418" s="104">
        <f>SUM(S406:S417)</f>
        <v>0</v>
      </c>
      <c r="T418" s="104">
        <f>SUM(T406:T417)</f>
        <v>0</v>
      </c>
      <c r="U418" s="692">
        <f>U417</f>
        <v>0</v>
      </c>
      <c r="V418" s="693"/>
      <c r="X418" s="97" t="s">
        <v>820</v>
      </c>
      <c r="Y418" s="104">
        <f>SUM(Y406:Y417)</f>
        <v>0</v>
      </c>
      <c r="Z418" s="104">
        <f>SUM(Z406:Z417)</f>
        <v>0</v>
      </c>
      <c r="AA418" s="104">
        <f>SUM(AA406:AA417)</f>
        <v>0</v>
      </c>
      <c r="AB418" s="692">
        <f>AB417</f>
        <v>0</v>
      </c>
      <c r="AC418" s="693"/>
    </row>
    <row r="419" spans="3:29" x14ac:dyDescent="0.2">
      <c r="C419" s="95">
        <v>349</v>
      </c>
      <c r="D419" s="101" t="str">
        <f t="shared" ref="D419:D430" si="464">IF(G418&gt;0,G418*($E$36)/12,"$0.00")</f>
        <v>$0.00</v>
      </c>
      <c r="E419" s="101" t="str">
        <f t="shared" ref="E419:E430" si="465">IF(G418&gt;0,IF($E$38=4,"$0.00",IF($E$38=3,"$0.00",IF($E$38=2,"$0.00",+$G$39-D419))),"$0.00")</f>
        <v>$0.00</v>
      </c>
      <c r="F419" s="101" t="str">
        <f t="shared" ref="F419:F430" si="466">IF(G418=0,"$0.00",IF($E$38=4,"$0.00",IF($E$38=3,"$0.00",IF($E$38=2,D419,D419+E419))))</f>
        <v>$0.00</v>
      </c>
      <c r="G419" s="688" t="str">
        <f t="shared" ref="G419:G430" si="467">IF(G418=0,"$0.00",IF($E$38=4,G418+D419,IF($E$38=3,G418+D419,IF($E$38=2,G418,G418-E419))))</f>
        <v>$0.00</v>
      </c>
      <c r="H419" s="689"/>
      <c r="J419" s="95">
        <v>349</v>
      </c>
      <c r="K419" s="96">
        <f t="shared" ref="K419:K430" si="468">N418*($L$36)/12</f>
        <v>0</v>
      </c>
      <c r="L419" s="96">
        <f t="shared" ref="L419:L430" si="469">IF(L415=4,"$0.00",+$N$39-K419)</f>
        <v>0</v>
      </c>
      <c r="M419" s="96">
        <f t="shared" ref="M419:M430" si="470">IF(L415=4,"$0.00",K419+L419)</f>
        <v>0</v>
      </c>
      <c r="N419" s="709">
        <f t="shared" ref="N419:N430" si="471">IF(L415=4,N418+K419,N418-L419)</f>
        <v>0</v>
      </c>
      <c r="O419" s="710"/>
      <c r="Q419" s="95">
        <v>349</v>
      </c>
      <c r="R419" s="101" t="str">
        <f t="shared" ref="R419:R430" si="472">IF(U418&gt;0,U418*($S$36)/12,"$0.00")</f>
        <v>$0.00</v>
      </c>
      <c r="S419" s="101" t="str">
        <f t="shared" ref="S419:S430" si="473">IF(U418&gt;0,IF($S$38=4,"$0.00",IF($S$38=3,"$0.00",IF($S$38=2,"$0.00",+$U$39-R419))),"$0.00")</f>
        <v>$0.00</v>
      </c>
      <c r="T419" s="101" t="str">
        <f t="shared" ref="T419:T430" si="474">IF(U418=0,"$0.00",IF($S$38=4,"$0.00",IF($S$38=3,"$0.00",IF($S$38=2,R419,R419+S419))))</f>
        <v>$0.00</v>
      </c>
      <c r="U419" s="688" t="str">
        <f t="shared" ref="U419:U430" si="475">IF(U418=0,"$0.00",IF($S$38=4,U418+R419,IF($S$38=3,U418+R419,IF($S$38=2,U418,U418-S419))))</f>
        <v>$0.00</v>
      </c>
      <c r="V419" s="689"/>
      <c r="X419" s="95">
        <v>349</v>
      </c>
      <c r="Y419" s="101" t="str">
        <f t="shared" ref="Y419:Y430" si="476">IF(AB418&gt;0,AB418*($Z$36)/12,"$0.00")</f>
        <v>$0.00</v>
      </c>
      <c r="Z419" s="101" t="str">
        <f t="shared" ref="Z419:Z430" si="477">IF(AB418&gt;0,IF($Z$38=4,"$0.00",IF($Z$38=3,"$0.00",IF($Z$38=2,"$0.00",+$AB$39-Y419))),"$0.00")</f>
        <v>$0.00</v>
      </c>
      <c r="AA419" s="101" t="str">
        <f t="shared" ref="AA419:AA430" si="478">IF(AB418=0,"$0.00",IF($Z$38=4,"$0.00",IF($Z$38=3,"$0.00",IF($Z$38=2,Y419,Y419+Z419))))</f>
        <v>$0.00</v>
      </c>
      <c r="AB419" s="688" t="str">
        <f t="shared" ref="AB419:AB430" si="479">IF(AB418=0,"$0.00",IF($Z$38=4,AB418+Y419,IF($Z$38=3,AB418+Y419,IF($Z$38=2,AB418,AB418-Z419))))</f>
        <v>$0.00</v>
      </c>
      <c r="AC419" s="689"/>
    </row>
    <row r="420" spans="3:29" x14ac:dyDescent="0.2">
      <c r="C420" s="95">
        <v>350</v>
      </c>
      <c r="D420" s="101">
        <f t="shared" si="464"/>
        <v>0</v>
      </c>
      <c r="E420" s="101">
        <f t="shared" si="465"/>
        <v>0</v>
      </c>
      <c r="F420" s="101">
        <f t="shared" si="466"/>
        <v>0</v>
      </c>
      <c r="G420" s="688">
        <f t="shared" si="467"/>
        <v>0</v>
      </c>
      <c r="H420" s="689"/>
      <c r="J420" s="95">
        <v>350</v>
      </c>
      <c r="K420" s="96">
        <f t="shared" si="468"/>
        <v>0</v>
      </c>
      <c r="L420" s="96">
        <f t="shared" si="469"/>
        <v>0</v>
      </c>
      <c r="M420" s="96">
        <f t="shared" si="470"/>
        <v>0</v>
      </c>
      <c r="N420" s="688">
        <f t="shared" si="471"/>
        <v>0</v>
      </c>
      <c r="O420" s="689"/>
      <c r="Q420" s="95">
        <v>350</v>
      </c>
      <c r="R420" s="101">
        <f t="shared" si="472"/>
        <v>0</v>
      </c>
      <c r="S420" s="101">
        <f t="shared" si="473"/>
        <v>0</v>
      </c>
      <c r="T420" s="101">
        <f t="shared" si="474"/>
        <v>0</v>
      </c>
      <c r="U420" s="688">
        <f t="shared" si="475"/>
        <v>0</v>
      </c>
      <c r="V420" s="689"/>
      <c r="X420" s="95">
        <v>350</v>
      </c>
      <c r="Y420" s="101">
        <f t="shared" si="476"/>
        <v>0</v>
      </c>
      <c r="Z420" s="101">
        <f t="shared" si="477"/>
        <v>0</v>
      </c>
      <c r="AA420" s="101">
        <f t="shared" si="478"/>
        <v>0</v>
      </c>
      <c r="AB420" s="688">
        <f t="shared" si="479"/>
        <v>0</v>
      </c>
      <c r="AC420" s="689"/>
    </row>
    <row r="421" spans="3:29" x14ac:dyDescent="0.2">
      <c r="C421" s="95">
        <v>351</v>
      </c>
      <c r="D421" s="101" t="str">
        <f t="shared" si="464"/>
        <v>$0.00</v>
      </c>
      <c r="E421" s="101" t="str">
        <f t="shared" si="465"/>
        <v>$0.00</v>
      </c>
      <c r="F421" s="101" t="str">
        <f t="shared" si="466"/>
        <v>$0.00</v>
      </c>
      <c r="G421" s="688" t="str">
        <f t="shared" si="467"/>
        <v>$0.00</v>
      </c>
      <c r="H421" s="689"/>
      <c r="J421" s="95">
        <v>351</v>
      </c>
      <c r="K421" s="96">
        <f t="shared" si="468"/>
        <v>0</v>
      </c>
      <c r="L421" s="96">
        <f t="shared" si="469"/>
        <v>0</v>
      </c>
      <c r="M421" s="96">
        <f t="shared" si="470"/>
        <v>0</v>
      </c>
      <c r="N421" s="688">
        <f t="shared" si="471"/>
        <v>0</v>
      </c>
      <c r="O421" s="689"/>
      <c r="Q421" s="95">
        <v>351</v>
      </c>
      <c r="R421" s="101" t="str">
        <f t="shared" si="472"/>
        <v>$0.00</v>
      </c>
      <c r="S421" s="101" t="str">
        <f t="shared" si="473"/>
        <v>$0.00</v>
      </c>
      <c r="T421" s="101" t="str">
        <f t="shared" si="474"/>
        <v>$0.00</v>
      </c>
      <c r="U421" s="688" t="str">
        <f t="shared" si="475"/>
        <v>$0.00</v>
      </c>
      <c r="V421" s="689"/>
      <c r="X421" s="95">
        <v>351</v>
      </c>
      <c r="Y421" s="101" t="str">
        <f t="shared" si="476"/>
        <v>$0.00</v>
      </c>
      <c r="Z421" s="101" t="str">
        <f t="shared" si="477"/>
        <v>$0.00</v>
      </c>
      <c r="AA421" s="101" t="str">
        <f t="shared" si="478"/>
        <v>$0.00</v>
      </c>
      <c r="AB421" s="688" t="str">
        <f t="shared" si="479"/>
        <v>$0.00</v>
      </c>
      <c r="AC421" s="689"/>
    </row>
    <row r="422" spans="3:29" x14ac:dyDescent="0.2">
      <c r="C422" s="95">
        <v>352</v>
      </c>
      <c r="D422" s="101">
        <f t="shared" si="464"/>
        <v>0</v>
      </c>
      <c r="E422" s="101">
        <f t="shared" si="465"/>
        <v>0</v>
      </c>
      <c r="F422" s="101">
        <f t="shared" si="466"/>
        <v>0</v>
      </c>
      <c r="G422" s="688">
        <f t="shared" si="467"/>
        <v>0</v>
      </c>
      <c r="H422" s="689"/>
      <c r="J422" s="95">
        <v>352</v>
      </c>
      <c r="K422" s="96">
        <f t="shared" si="468"/>
        <v>0</v>
      </c>
      <c r="L422" s="96">
        <f t="shared" si="469"/>
        <v>0</v>
      </c>
      <c r="M422" s="96">
        <f t="shared" si="470"/>
        <v>0</v>
      </c>
      <c r="N422" s="688">
        <f t="shared" si="471"/>
        <v>0</v>
      </c>
      <c r="O422" s="689"/>
      <c r="Q422" s="95">
        <v>352</v>
      </c>
      <c r="R422" s="101">
        <f t="shared" si="472"/>
        <v>0</v>
      </c>
      <c r="S422" s="101">
        <f t="shared" si="473"/>
        <v>0</v>
      </c>
      <c r="T422" s="101">
        <f t="shared" si="474"/>
        <v>0</v>
      </c>
      <c r="U422" s="688">
        <f t="shared" si="475"/>
        <v>0</v>
      </c>
      <c r="V422" s="689"/>
      <c r="X422" s="95">
        <v>352</v>
      </c>
      <c r="Y422" s="101">
        <f t="shared" si="476"/>
        <v>0</v>
      </c>
      <c r="Z422" s="101">
        <f t="shared" si="477"/>
        <v>0</v>
      </c>
      <c r="AA422" s="101">
        <f t="shared" si="478"/>
        <v>0</v>
      </c>
      <c r="AB422" s="688">
        <f t="shared" si="479"/>
        <v>0</v>
      </c>
      <c r="AC422" s="689"/>
    </row>
    <row r="423" spans="3:29" x14ac:dyDescent="0.2">
      <c r="C423" s="95">
        <v>353</v>
      </c>
      <c r="D423" s="101" t="str">
        <f t="shared" si="464"/>
        <v>$0.00</v>
      </c>
      <c r="E423" s="101" t="str">
        <f t="shared" si="465"/>
        <v>$0.00</v>
      </c>
      <c r="F423" s="101" t="str">
        <f t="shared" si="466"/>
        <v>$0.00</v>
      </c>
      <c r="G423" s="688" t="str">
        <f t="shared" si="467"/>
        <v>$0.00</v>
      </c>
      <c r="H423" s="689"/>
      <c r="J423" s="95">
        <v>353</v>
      </c>
      <c r="K423" s="96">
        <f t="shared" si="468"/>
        <v>0</v>
      </c>
      <c r="L423" s="96">
        <f t="shared" si="469"/>
        <v>0</v>
      </c>
      <c r="M423" s="96">
        <f t="shared" si="470"/>
        <v>0</v>
      </c>
      <c r="N423" s="688">
        <f t="shared" si="471"/>
        <v>0</v>
      </c>
      <c r="O423" s="689"/>
      <c r="Q423" s="95">
        <v>353</v>
      </c>
      <c r="R423" s="101" t="str">
        <f t="shared" si="472"/>
        <v>$0.00</v>
      </c>
      <c r="S423" s="101" t="str">
        <f t="shared" si="473"/>
        <v>$0.00</v>
      </c>
      <c r="T423" s="101" t="str">
        <f t="shared" si="474"/>
        <v>$0.00</v>
      </c>
      <c r="U423" s="688" t="str">
        <f t="shared" si="475"/>
        <v>$0.00</v>
      </c>
      <c r="V423" s="689"/>
      <c r="X423" s="95">
        <v>353</v>
      </c>
      <c r="Y423" s="101" t="str">
        <f t="shared" si="476"/>
        <v>$0.00</v>
      </c>
      <c r="Z423" s="101" t="str">
        <f t="shared" si="477"/>
        <v>$0.00</v>
      </c>
      <c r="AA423" s="101" t="str">
        <f t="shared" si="478"/>
        <v>$0.00</v>
      </c>
      <c r="AB423" s="688" t="str">
        <f t="shared" si="479"/>
        <v>$0.00</v>
      </c>
      <c r="AC423" s="689"/>
    </row>
    <row r="424" spans="3:29" x14ac:dyDescent="0.2">
      <c r="C424" s="95">
        <v>354</v>
      </c>
      <c r="D424" s="101">
        <f t="shared" si="464"/>
        <v>0</v>
      </c>
      <c r="E424" s="101">
        <f t="shared" si="465"/>
        <v>0</v>
      </c>
      <c r="F424" s="101">
        <f t="shared" si="466"/>
        <v>0</v>
      </c>
      <c r="G424" s="688">
        <f t="shared" si="467"/>
        <v>0</v>
      </c>
      <c r="H424" s="689"/>
      <c r="J424" s="95">
        <v>354</v>
      </c>
      <c r="K424" s="96">
        <f t="shared" si="468"/>
        <v>0</v>
      </c>
      <c r="L424" s="96">
        <f t="shared" si="469"/>
        <v>0</v>
      </c>
      <c r="M424" s="96">
        <f t="shared" si="470"/>
        <v>0</v>
      </c>
      <c r="N424" s="688">
        <f t="shared" si="471"/>
        <v>0</v>
      </c>
      <c r="O424" s="689"/>
      <c r="Q424" s="95">
        <v>354</v>
      </c>
      <c r="R424" s="101">
        <f t="shared" si="472"/>
        <v>0</v>
      </c>
      <c r="S424" s="101">
        <f t="shared" si="473"/>
        <v>0</v>
      </c>
      <c r="T424" s="101">
        <f t="shared" si="474"/>
        <v>0</v>
      </c>
      <c r="U424" s="688">
        <f t="shared" si="475"/>
        <v>0</v>
      </c>
      <c r="V424" s="689"/>
      <c r="X424" s="95">
        <v>354</v>
      </c>
      <c r="Y424" s="101">
        <f t="shared" si="476"/>
        <v>0</v>
      </c>
      <c r="Z424" s="101">
        <f t="shared" si="477"/>
        <v>0</v>
      </c>
      <c r="AA424" s="101">
        <f t="shared" si="478"/>
        <v>0</v>
      </c>
      <c r="AB424" s="688">
        <f t="shared" si="479"/>
        <v>0</v>
      </c>
      <c r="AC424" s="689"/>
    </row>
    <row r="425" spans="3:29" x14ac:dyDescent="0.2">
      <c r="C425" s="95">
        <v>355</v>
      </c>
      <c r="D425" s="101" t="str">
        <f t="shared" si="464"/>
        <v>$0.00</v>
      </c>
      <c r="E425" s="101" t="str">
        <f t="shared" si="465"/>
        <v>$0.00</v>
      </c>
      <c r="F425" s="101" t="str">
        <f t="shared" si="466"/>
        <v>$0.00</v>
      </c>
      <c r="G425" s="688" t="str">
        <f t="shared" si="467"/>
        <v>$0.00</v>
      </c>
      <c r="H425" s="689"/>
      <c r="J425" s="95">
        <v>355</v>
      </c>
      <c r="K425" s="96">
        <f t="shared" si="468"/>
        <v>0</v>
      </c>
      <c r="L425" s="96">
        <f t="shared" si="469"/>
        <v>0</v>
      </c>
      <c r="M425" s="96">
        <f t="shared" si="470"/>
        <v>0</v>
      </c>
      <c r="N425" s="688">
        <f t="shared" si="471"/>
        <v>0</v>
      </c>
      <c r="O425" s="689"/>
      <c r="Q425" s="95">
        <v>355</v>
      </c>
      <c r="R425" s="101" t="str">
        <f t="shared" si="472"/>
        <v>$0.00</v>
      </c>
      <c r="S425" s="101" t="str">
        <f t="shared" si="473"/>
        <v>$0.00</v>
      </c>
      <c r="T425" s="101" t="str">
        <f t="shared" si="474"/>
        <v>$0.00</v>
      </c>
      <c r="U425" s="688" t="str">
        <f t="shared" si="475"/>
        <v>$0.00</v>
      </c>
      <c r="V425" s="689"/>
      <c r="X425" s="95">
        <v>355</v>
      </c>
      <c r="Y425" s="101" t="str">
        <f t="shared" si="476"/>
        <v>$0.00</v>
      </c>
      <c r="Z425" s="101" t="str">
        <f t="shared" si="477"/>
        <v>$0.00</v>
      </c>
      <c r="AA425" s="101" t="str">
        <f t="shared" si="478"/>
        <v>$0.00</v>
      </c>
      <c r="AB425" s="688" t="str">
        <f t="shared" si="479"/>
        <v>$0.00</v>
      </c>
      <c r="AC425" s="689"/>
    </row>
    <row r="426" spans="3:29" x14ac:dyDescent="0.2">
      <c r="C426" s="95">
        <v>356</v>
      </c>
      <c r="D426" s="101">
        <f t="shared" si="464"/>
        <v>0</v>
      </c>
      <c r="E426" s="101">
        <f t="shared" si="465"/>
        <v>0</v>
      </c>
      <c r="F426" s="101">
        <f t="shared" si="466"/>
        <v>0</v>
      </c>
      <c r="G426" s="688">
        <f t="shared" si="467"/>
        <v>0</v>
      </c>
      <c r="H426" s="689"/>
      <c r="J426" s="95">
        <v>356</v>
      </c>
      <c r="K426" s="96">
        <f t="shared" si="468"/>
        <v>0</v>
      </c>
      <c r="L426" s="96">
        <f t="shared" si="469"/>
        <v>0</v>
      </c>
      <c r="M426" s="96">
        <f t="shared" si="470"/>
        <v>0</v>
      </c>
      <c r="N426" s="688">
        <f t="shared" si="471"/>
        <v>0</v>
      </c>
      <c r="O426" s="689"/>
      <c r="Q426" s="95">
        <v>356</v>
      </c>
      <c r="R426" s="101">
        <f t="shared" si="472"/>
        <v>0</v>
      </c>
      <c r="S426" s="101">
        <f t="shared" si="473"/>
        <v>0</v>
      </c>
      <c r="T426" s="101">
        <f t="shared" si="474"/>
        <v>0</v>
      </c>
      <c r="U426" s="688">
        <f t="shared" si="475"/>
        <v>0</v>
      </c>
      <c r="V426" s="689"/>
      <c r="X426" s="95">
        <v>356</v>
      </c>
      <c r="Y426" s="101">
        <f t="shared" si="476"/>
        <v>0</v>
      </c>
      <c r="Z426" s="101">
        <f t="shared" si="477"/>
        <v>0</v>
      </c>
      <c r="AA426" s="101">
        <f t="shared" si="478"/>
        <v>0</v>
      </c>
      <c r="AB426" s="688">
        <f t="shared" si="479"/>
        <v>0</v>
      </c>
      <c r="AC426" s="689"/>
    </row>
    <row r="427" spans="3:29" x14ac:dyDescent="0.2">
      <c r="C427" s="95">
        <v>357</v>
      </c>
      <c r="D427" s="101" t="str">
        <f t="shared" si="464"/>
        <v>$0.00</v>
      </c>
      <c r="E427" s="101" t="str">
        <f t="shared" si="465"/>
        <v>$0.00</v>
      </c>
      <c r="F427" s="101" t="str">
        <f t="shared" si="466"/>
        <v>$0.00</v>
      </c>
      <c r="G427" s="688" t="str">
        <f t="shared" si="467"/>
        <v>$0.00</v>
      </c>
      <c r="H427" s="689"/>
      <c r="J427" s="95">
        <v>357</v>
      </c>
      <c r="K427" s="96">
        <f t="shared" si="468"/>
        <v>0</v>
      </c>
      <c r="L427" s="96">
        <f t="shared" si="469"/>
        <v>0</v>
      </c>
      <c r="M427" s="96">
        <f t="shared" si="470"/>
        <v>0</v>
      </c>
      <c r="N427" s="688">
        <f t="shared" si="471"/>
        <v>0</v>
      </c>
      <c r="O427" s="689"/>
      <c r="Q427" s="95">
        <v>357</v>
      </c>
      <c r="R427" s="101" t="str">
        <f t="shared" si="472"/>
        <v>$0.00</v>
      </c>
      <c r="S427" s="101" t="str">
        <f t="shared" si="473"/>
        <v>$0.00</v>
      </c>
      <c r="T427" s="101" t="str">
        <f t="shared" si="474"/>
        <v>$0.00</v>
      </c>
      <c r="U427" s="688" t="str">
        <f t="shared" si="475"/>
        <v>$0.00</v>
      </c>
      <c r="V427" s="689"/>
      <c r="X427" s="95">
        <v>357</v>
      </c>
      <c r="Y427" s="101" t="str">
        <f t="shared" si="476"/>
        <v>$0.00</v>
      </c>
      <c r="Z427" s="101" t="str">
        <f t="shared" si="477"/>
        <v>$0.00</v>
      </c>
      <c r="AA427" s="101" t="str">
        <f t="shared" si="478"/>
        <v>$0.00</v>
      </c>
      <c r="AB427" s="688" t="str">
        <f t="shared" si="479"/>
        <v>$0.00</v>
      </c>
      <c r="AC427" s="689"/>
    </row>
    <row r="428" spans="3:29" x14ac:dyDescent="0.2">
      <c r="C428" s="95">
        <v>358</v>
      </c>
      <c r="D428" s="101">
        <f t="shared" si="464"/>
        <v>0</v>
      </c>
      <c r="E428" s="101">
        <f t="shared" si="465"/>
        <v>0</v>
      </c>
      <c r="F428" s="101">
        <f t="shared" si="466"/>
        <v>0</v>
      </c>
      <c r="G428" s="688">
        <f t="shared" si="467"/>
        <v>0</v>
      </c>
      <c r="H428" s="689"/>
      <c r="J428" s="95">
        <v>358</v>
      </c>
      <c r="K428" s="96">
        <f t="shared" si="468"/>
        <v>0</v>
      </c>
      <c r="L428" s="96">
        <f t="shared" si="469"/>
        <v>0</v>
      </c>
      <c r="M428" s="96">
        <f t="shared" si="470"/>
        <v>0</v>
      </c>
      <c r="N428" s="688">
        <f t="shared" si="471"/>
        <v>0</v>
      </c>
      <c r="O428" s="689"/>
      <c r="Q428" s="95">
        <v>358</v>
      </c>
      <c r="R428" s="101">
        <f t="shared" si="472"/>
        <v>0</v>
      </c>
      <c r="S428" s="101">
        <f t="shared" si="473"/>
        <v>0</v>
      </c>
      <c r="T428" s="101">
        <f t="shared" si="474"/>
        <v>0</v>
      </c>
      <c r="U428" s="688">
        <f t="shared" si="475"/>
        <v>0</v>
      </c>
      <c r="V428" s="689"/>
      <c r="X428" s="95">
        <v>358</v>
      </c>
      <c r="Y428" s="101">
        <f t="shared" si="476"/>
        <v>0</v>
      </c>
      <c r="Z428" s="101">
        <f t="shared" si="477"/>
        <v>0</v>
      </c>
      <c r="AA428" s="101">
        <f t="shared" si="478"/>
        <v>0</v>
      </c>
      <c r="AB428" s="688">
        <f t="shared" si="479"/>
        <v>0</v>
      </c>
      <c r="AC428" s="689"/>
    </row>
    <row r="429" spans="3:29" x14ac:dyDescent="0.2">
      <c r="C429" s="95">
        <v>359</v>
      </c>
      <c r="D429" s="101" t="str">
        <f t="shared" si="464"/>
        <v>$0.00</v>
      </c>
      <c r="E429" s="101" t="str">
        <f t="shared" si="465"/>
        <v>$0.00</v>
      </c>
      <c r="F429" s="101" t="str">
        <f t="shared" si="466"/>
        <v>$0.00</v>
      </c>
      <c r="G429" s="688" t="str">
        <f t="shared" si="467"/>
        <v>$0.00</v>
      </c>
      <c r="H429" s="689"/>
      <c r="J429" s="95">
        <v>359</v>
      </c>
      <c r="K429" s="96">
        <f t="shared" si="468"/>
        <v>0</v>
      </c>
      <c r="L429" s="96">
        <f t="shared" si="469"/>
        <v>0</v>
      </c>
      <c r="M429" s="96">
        <f t="shared" si="470"/>
        <v>0</v>
      </c>
      <c r="N429" s="688">
        <f t="shared" si="471"/>
        <v>0</v>
      </c>
      <c r="O429" s="689"/>
      <c r="Q429" s="95">
        <v>359</v>
      </c>
      <c r="R429" s="101" t="str">
        <f t="shared" si="472"/>
        <v>$0.00</v>
      </c>
      <c r="S429" s="101" t="str">
        <f t="shared" si="473"/>
        <v>$0.00</v>
      </c>
      <c r="T429" s="101" t="str">
        <f t="shared" si="474"/>
        <v>$0.00</v>
      </c>
      <c r="U429" s="688" t="str">
        <f t="shared" si="475"/>
        <v>$0.00</v>
      </c>
      <c r="V429" s="689"/>
      <c r="X429" s="95">
        <v>359</v>
      </c>
      <c r="Y429" s="101" t="str">
        <f t="shared" si="476"/>
        <v>$0.00</v>
      </c>
      <c r="Z429" s="101" t="str">
        <f t="shared" si="477"/>
        <v>$0.00</v>
      </c>
      <c r="AA429" s="101" t="str">
        <f t="shared" si="478"/>
        <v>$0.00</v>
      </c>
      <c r="AB429" s="688" t="str">
        <f t="shared" si="479"/>
        <v>$0.00</v>
      </c>
      <c r="AC429" s="689"/>
    </row>
    <row r="430" spans="3:29" x14ac:dyDescent="0.2">
      <c r="C430" s="95">
        <v>360</v>
      </c>
      <c r="D430" s="101">
        <f t="shared" si="464"/>
        <v>0</v>
      </c>
      <c r="E430" s="101">
        <f t="shared" si="465"/>
        <v>0</v>
      </c>
      <c r="F430" s="101">
        <f t="shared" si="466"/>
        <v>0</v>
      </c>
      <c r="G430" s="690">
        <f t="shared" si="467"/>
        <v>0</v>
      </c>
      <c r="H430" s="691"/>
      <c r="J430" s="95">
        <v>360</v>
      </c>
      <c r="K430" s="96">
        <f t="shared" si="468"/>
        <v>0</v>
      </c>
      <c r="L430" s="96">
        <f t="shared" si="469"/>
        <v>0</v>
      </c>
      <c r="M430" s="96">
        <f t="shared" si="470"/>
        <v>0</v>
      </c>
      <c r="N430" s="690">
        <f t="shared" si="471"/>
        <v>0</v>
      </c>
      <c r="O430" s="691"/>
      <c r="Q430" s="95">
        <v>360</v>
      </c>
      <c r="R430" s="101">
        <f t="shared" si="472"/>
        <v>0</v>
      </c>
      <c r="S430" s="101">
        <f t="shared" si="473"/>
        <v>0</v>
      </c>
      <c r="T430" s="101">
        <f t="shared" si="474"/>
        <v>0</v>
      </c>
      <c r="U430" s="690">
        <f t="shared" si="475"/>
        <v>0</v>
      </c>
      <c r="V430" s="691"/>
      <c r="X430" s="95">
        <v>360</v>
      </c>
      <c r="Y430" s="101">
        <f t="shared" si="476"/>
        <v>0</v>
      </c>
      <c r="Z430" s="101">
        <f t="shared" si="477"/>
        <v>0</v>
      </c>
      <c r="AA430" s="101">
        <f t="shared" si="478"/>
        <v>0</v>
      </c>
      <c r="AB430" s="690">
        <f t="shared" si="479"/>
        <v>0</v>
      </c>
      <c r="AC430" s="691"/>
    </row>
    <row r="431" spans="3:29" x14ac:dyDescent="0.2">
      <c r="C431" s="97" t="s">
        <v>821</v>
      </c>
      <c r="D431" s="104">
        <f>SUM(D419:D430)</f>
        <v>0</v>
      </c>
      <c r="E431" s="104">
        <f>SUM(E419:E430)</f>
        <v>0</v>
      </c>
      <c r="F431" s="104">
        <f>SUM(F419:F430)</f>
        <v>0</v>
      </c>
      <c r="G431" s="692">
        <f>G430</f>
        <v>0</v>
      </c>
      <c r="H431" s="693"/>
      <c r="J431" s="97" t="s">
        <v>821</v>
      </c>
      <c r="K431" s="86">
        <f>SUM(K419:K430)</f>
        <v>0</v>
      </c>
      <c r="L431" s="86">
        <f>SUM(L419:L430)</f>
        <v>0</v>
      </c>
      <c r="M431" s="86">
        <f>SUM(M419:M430)</f>
        <v>0</v>
      </c>
      <c r="N431" s="692">
        <f>N430</f>
        <v>0</v>
      </c>
      <c r="O431" s="711"/>
      <c r="Q431" s="97" t="s">
        <v>821</v>
      </c>
      <c r="R431" s="104">
        <f>SUM(R419:R430)</f>
        <v>0</v>
      </c>
      <c r="S431" s="104">
        <f>SUM(S419:S430)</f>
        <v>0</v>
      </c>
      <c r="T431" s="104">
        <f>SUM(T419:T430)</f>
        <v>0</v>
      </c>
      <c r="U431" s="692">
        <f>U430</f>
        <v>0</v>
      </c>
      <c r="V431" s="693"/>
      <c r="X431" s="97" t="s">
        <v>821</v>
      </c>
      <c r="Y431" s="104">
        <f>SUM(Y419:Y430)</f>
        <v>0</v>
      </c>
      <c r="Z431" s="104">
        <f>SUM(Z419:Z430)</f>
        <v>0</v>
      </c>
      <c r="AA431" s="104">
        <f>SUM(AA419:AA430)</f>
        <v>0</v>
      </c>
      <c r="AB431" s="692">
        <f>AB430</f>
        <v>0</v>
      </c>
      <c r="AC431" s="693"/>
    </row>
    <row r="432" spans="3:29" x14ac:dyDescent="0.2">
      <c r="C432" s="95">
        <v>361</v>
      </c>
      <c r="D432" s="101" t="str">
        <f t="shared" ref="D432:D443" si="480">IF(G431&gt;0,G431*($E$36)/12,"$0.00")</f>
        <v>$0.00</v>
      </c>
      <c r="E432" s="101" t="str">
        <f t="shared" ref="E432:E443" si="481">IF(G431&gt;0,IF($E$38=4,"$0.00",IF($E$38=3,"$0.00",IF($E$38=2,"$0.00",+$G$39-D432))),"$0.00")</f>
        <v>$0.00</v>
      </c>
      <c r="F432" s="101" t="str">
        <f t="shared" ref="F432:F443" si="482">IF(G431=0,"$0.00",IF($E$38=4,"$0.00",IF($E$38=3,"$0.00",IF($E$38=2,D432,D432+E432))))</f>
        <v>$0.00</v>
      </c>
      <c r="G432" s="688" t="str">
        <f t="shared" ref="G432:G443" si="483">IF(G431=0,"$0.00",IF($E$38=4,G431+D432,IF($E$38=3,G431+D432,IF($E$38=2,G431,G431-E432))))</f>
        <v>$0.00</v>
      </c>
      <c r="H432" s="689"/>
      <c r="J432" s="95">
        <v>361</v>
      </c>
      <c r="K432" s="96">
        <f t="shared" ref="K432:K443" si="484">N431*($L$36)/12</f>
        <v>0</v>
      </c>
      <c r="L432" s="96">
        <f t="shared" ref="L432:L443" si="485">IF(L428=4,"$0.00",+$N$39-K432)</f>
        <v>0</v>
      </c>
      <c r="M432" s="96">
        <f t="shared" ref="M432:M443" si="486">IF(L428=4,"$0.00",K432+L432)</f>
        <v>0</v>
      </c>
      <c r="N432" s="709">
        <f t="shared" ref="N432:N443" si="487">IF(L428=4,N431+K432,N431-L432)</f>
        <v>0</v>
      </c>
      <c r="O432" s="710"/>
      <c r="Q432" s="95">
        <v>361</v>
      </c>
      <c r="R432" s="101" t="str">
        <f t="shared" ref="R432:R443" si="488">IF(U431&gt;0,U431*($S$36)/12,"$0.00")</f>
        <v>$0.00</v>
      </c>
      <c r="S432" s="101" t="str">
        <f t="shared" ref="S432:S443" si="489">IF(U431&gt;0,IF($S$38=4,"$0.00",IF($S$38=3,"$0.00",IF($S$38=2,"$0.00",+$U$39-R432))),"$0.00")</f>
        <v>$0.00</v>
      </c>
      <c r="T432" s="101" t="str">
        <f t="shared" ref="T432:T443" si="490">IF(U431=0,"$0.00",IF($S$38=4,"$0.00",IF($S$38=3,"$0.00",IF($S$38=2,R432,R432+S432))))</f>
        <v>$0.00</v>
      </c>
      <c r="U432" s="688" t="str">
        <f t="shared" ref="U432:U443" si="491">IF(U431=0,"$0.00",IF($S$38=4,U431+R432,IF($S$38=3,U431+R432,IF($S$38=2,U431,U431-S432))))</f>
        <v>$0.00</v>
      </c>
      <c r="V432" s="689"/>
      <c r="X432" s="95">
        <v>361</v>
      </c>
      <c r="Y432" s="101" t="str">
        <f t="shared" ref="Y432:Y443" si="492">IF(AB431&gt;0,AB431*($Z$36)/12,"$0.00")</f>
        <v>$0.00</v>
      </c>
      <c r="Z432" s="101" t="str">
        <f t="shared" ref="Z432:Z443" si="493">IF(AB431&gt;0,IF($Z$38=4,"$0.00",IF($Z$38=3,"$0.00",IF($Z$38=2,"$0.00",+$AB$39-Y432))),"$0.00")</f>
        <v>$0.00</v>
      </c>
      <c r="AA432" s="101" t="str">
        <f t="shared" ref="AA432:AA443" si="494">IF(AB431=0,"$0.00",IF($Z$38=4,"$0.00",IF($Z$38=3,"$0.00",IF($Z$38=2,Y432,Y432+Z432))))</f>
        <v>$0.00</v>
      </c>
      <c r="AB432" s="688" t="str">
        <f t="shared" ref="AB432:AB443" si="495">IF(AB431=0,"$0.00",IF($Z$38=4,AB431+Y432,IF($Z$38=3,AB431+Y432,IF($Z$38=2,AB431,AB431-Z432))))</f>
        <v>$0.00</v>
      </c>
      <c r="AC432" s="689"/>
    </row>
    <row r="433" spans="3:29" x14ac:dyDescent="0.2">
      <c r="C433" s="95">
        <v>362</v>
      </c>
      <c r="D433" s="101">
        <f t="shared" si="480"/>
        <v>0</v>
      </c>
      <c r="E433" s="101">
        <f t="shared" si="481"/>
        <v>0</v>
      </c>
      <c r="F433" s="101">
        <f t="shared" si="482"/>
        <v>0</v>
      </c>
      <c r="G433" s="688">
        <f t="shared" si="483"/>
        <v>0</v>
      </c>
      <c r="H433" s="689"/>
      <c r="J433" s="95">
        <v>362</v>
      </c>
      <c r="K433" s="96">
        <f t="shared" si="484"/>
        <v>0</v>
      </c>
      <c r="L433" s="96">
        <f t="shared" si="485"/>
        <v>0</v>
      </c>
      <c r="M433" s="96">
        <f t="shared" si="486"/>
        <v>0</v>
      </c>
      <c r="N433" s="688">
        <f t="shared" si="487"/>
        <v>0</v>
      </c>
      <c r="O433" s="689"/>
      <c r="Q433" s="95">
        <v>362</v>
      </c>
      <c r="R433" s="101">
        <f t="shared" si="488"/>
        <v>0</v>
      </c>
      <c r="S433" s="101">
        <f t="shared" si="489"/>
        <v>0</v>
      </c>
      <c r="T433" s="101">
        <f t="shared" si="490"/>
        <v>0</v>
      </c>
      <c r="U433" s="688">
        <f t="shared" si="491"/>
        <v>0</v>
      </c>
      <c r="V433" s="689"/>
      <c r="X433" s="95">
        <v>362</v>
      </c>
      <c r="Y433" s="101">
        <f t="shared" si="492"/>
        <v>0</v>
      </c>
      <c r="Z433" s="101">
        <f t="shared" si="493"/>
        <v>0</v>
      </c>
      <c r="AA433" s="101">
        <f t="shared" si="494"/>
        <v>0</v>
      </c>
      <c r="AB433" s="688">
        <f t="shared" si="495"/>
        <v>0</v>
      </c>
      <c r="AC433" s="689"/>
    </row>
    <row r="434" spans="3:29" x14ac:dyDescent="0.2">
      <c r="C434" s="95">
        <v>363</v>
      </c>
      <c r="D434" s="101" t="str">
        <f t="shared" si="480"/>
        <v>$0.00</v>
      </c>
      <c r="E434" s="101" t="str">
        <f t="shared" si="481"/>
        <v>$0.00</v>
      </c>
      <c r="F434" s="101" t="str">
        <f t="shared" si="482"/>
        <v>$0.00</v>
      </c>
      <c r="G434" s="688" t="str">
        <f t="shared" si="483"/>
        <v>$0.00</v>
      </c>
      <c r="H434" s="689"/>
      <c r="J434" s="95">
        <v>363</v>
      </c>
      <c r="K434" s="96">
        <f t="shared" si="484"/>
        <v>0</v>
      </c>
      <c r="L434" s="96">
        <f t="shared" si="485"/>
        <v>0</v>
      </c>
      <c r="M434" s="96">
        <f t="shared" si="486"/>
        <v>0</v>
      </c>
      <c r="N434" s="688">
        <f t="shared" si="487"/>
        <v>0</v>
      </c>
      <c r="O434" s="689"/>
      <c r="Q434" s="95">
        <v>363</v>
      </c>
      <c r="R434" s="101" t="str">
        <f t="shared" si="488"/>
        <v>$0.00</v>
      </c>
      <c r="S434" s="101" t="str">
        <f t="shared" si="489"/>
        <v>$0.00</v>
      </c>
      <c r="T434" s="101" t="str">
        <f t="shared" si="490"/>
        <v>$0.00</v>
      </c>
      <c r="U434" s="688" t="str">
        <f t="shared" si="491"/>
        <v>$0.00</v>
      </c>
      <c r="V434" s="689"/>
      <c r="X434" s="95">
        <v>363</v>
      </c>
      <c r="Y434" s="101" t="str">
        <f t="shared" si="492"/>
        <v>$0.00</v>
      </c>
      <c r="Z434" s="101" t="str">
        <f t="shared" si="493"/>
        <v>$0.00</v>
      </c>
      <c r="AA434" s="101" t="str">
        <f t="shared" si="494"/>
        <v>$0.00</v>
      </c>
      <c r="AB434" s="688" t="str">
        <f t="shared" si="495"/>
        <v>$0.00</v>
      </c>
      <c r="AC434" s="689"/>
    </row>
    <row r="435" spans="3:29" x14ac:dyDescent="0.2">
      <c r="C435" s="95">
        <v>364</v>
      </c>
      <c r="D435" s="101">
        <f t="shared" si="480"/>
        <v>0</v>
      </c>
      <c r="E435" s="101">
        <f t="shared" si="481"/>
        <v>0</v>
      </c>
      <c r="F435" s="101">
        <f t="shared" si="482"/>
        <v>0</v>
      </c>
      <c r="G435" s="688">
        <f t="shared" si="483"/>
        <v>0</v>
      </c>
      <c r="H435" s="689"/>
      <c r="J435" s="95">
        <v>364</v>
      </c>
      <c r="K435" s="96">
        <f t="shared" si="484"/>
        <v>0</v>
      </c>
      <c r="L435" s="96">
        <f t="shared" si="485"/>
        <v>0</v>
      </c>
      <c r="M435" s="96">
        <f t="shared" si="486"/>
        <v>0</v>
      </c>
      <c r="N435" s="688">
        <f t="shared" si="487"/>
        <v>0</v>
      </c>
      <c r="O435" s="689"/>
      <c r="Q435" s="95">
        <v>364</v>
      </c>
      <c r="R435" s="101">
        <f t="shared" si="488"/>
        <v>0</v>
      </c>
      <c r="S435" s="101">
        <f t="shared" si="489"/>
        <v>0</v>
      </c>
      <c r="T435" s="101">
        <f t="shared" si="490"/>
        <v>0</v>
      </c>
      <c r="U435" s="688">
        <f t="shared" si="491"/>
        <v>0</v>
      </c>
      <c r="V435" s="689"/>
      <c r="X435" s="95">
        <v>364</v>
      </c>
      <c r="Y435" s="101">
        <f t="shared" si="492"/>
        <v>0</v>
      </c>
      <c r="Z435" s="101">
        <f t="shared" si="493"/>
        <v>0</v>
      </c>
      <c r="AA435" s="101">
        <f t="shared" si="494"/>
        <v>0</v>
      </c>
      <c r="AB435" s="688">
        <f t="shared" si="495"/>
        <v>0</v>
      </c>
      <c r="AC435" s="689"/>
    </row>
    <row r="436" spans="3:29" x14ac:dyDescent="0.2">
      <c r="C436" s="95">
        <v>365</v>
      </c>
      <c r="D436" s="101" t="str">
        <f t="shared" si="480"/>
        <v>$0.00</v>
      </c>
      <c r="E436" s="101" t="str">
        <f t="shared" si="481"/>
        <v>$0.00</v>
      </c>
      <c r="F436" s="101" t="str">
        <f t="shared" si="482"/>
        <v>$0.00</v>
      </c>
      <c r="G436" s="688" t="str">
        <f t="shared" si="483"/>
        <v>$0.00</v>
      </c>
      <c r="H436" s="689"/>
      <c r="J436" s="95">
        <v>365</v>
      </c>
      <c r="K436" s="96">
        <f t="shared" si="484"/>
        <v>0</v>
      </c>
      <c r="L436" s="96">
        <f t="shared" si="485"/>
        <v>0</v>
      </c>
      <c r="M436" s="96">
        <f t="shared" si="486"/>
        <v>0</v>
      </c>
      <c r="N436" s="688">
        <f t="shared" si="487"/>
        <v>0</v>
      </c>
      <c r="O436" s="689"/>
      <c r="Q436" s="95">
        <v>365</v>
      </c>
      <c r="R436" s="101" t="str">
        <f t="shared" si="488"/>
        <v>$0.00</v>
      </c>
      <c r="S436" s="101" t="str">
        <f t="shared" si="489"/>
        <v>$0.00</v>
      </c>
      <c r="T436" s="101" t="str">
        <f t="shared" si="490"/>
        <v>$0.00</v>
      </c>
      <c r="U436" s="688" t="str">
        <f t="shared" si="491"/>
        <v>$0.00</v>
      </c>
      <c r="V436" s="689"/>
      <c r="X436" s="95">
        <v>365</v>
      </c>
      <c r="Y436" s="101" t="str">
        <f t="shared" si="492"/>
        <v>$0.00</v>
      </c>
      <c r="Z436" s="101" t="str">
        <f t="shared" si="493"/>
        <v>$0.00</v>
      </c>
      <c r="AA436" s="101" t="str">
        <f t="shared" si="494"/>
        <v>$0.00</v>
      </c>
      <c r="AB436" s="688" t="str">
        <f t="shared" si="495"/>
        <v>$0.00</v>
      </c>
      <c r="AC436" s="689"/>
    </row>
    <row r="437" spans="3:29" x14ac:dyDescent="0.2">
      <c r="C437" s="95">
        <v>366</v>
      </c>
      <c r="D437" s="101">
        <f t="shared" si="480"/>
        <v>0</v>
      </c>
      <c r="E437" s="101">
        <f t="shared" si="481"/>
        <v>0</v>
      </c>
      <c r="F437" s="101">
        <f t="shared" si="482"/>
        <v>0</v>
      </c>
      <c r="G437" s="688">
        <f t="shared" si="483"/>
        <v>0</v>
      </c>
      <c r="H437" s="689"/>
      <c r="J437" s="95">
        <v>366</v>
      </c>
      <c r="K437" s="96">
        <f t="shared" si="484"/>
        <v>0</v>
      </c>
      <c r="L437" s="96">
        <f t="shared" si="485"/>
        <v>0</v>
      </c>
      <c r="M437" s="96">
        <f t="shared" si="486"/>
        <v>0</v>
      </c>
      <c r="N437" s="688">
        <f t="shared" si="487"/>
        <v>0</v>
      </c>
      <c r="O437" s="689"/>
      <c r="Q437" s="95">
        <v>366</v>
      </c>
      <c r="R437" s="101">
        <f t="shared" si="488"/>
        <v>0</v>
      </c>
      <c r="S437" s="101">
        <f t="shared" si="489"/>
        <v>0</v>
      </c>
      <c r="T437" s="101">
        <f t="shared" si="490"/>
        <v>0</v>
      </c>
      <c r="U437" s="688">
        <f t="shared" si="491"/>
        <v>0</v>
      </c>
      <c r="V437" s="689"/>
      <c r="X437" s="95">
        <v>366</v>
      </c>
      <c r="Y437" s="101">
        <f t="shared" si="492"/>
        <v>0</v>
      </c>
      <c r="Z437" s="101">
        <f t="shared" si="493"/>
        <v>0</v>
      </c>
      <c r="AA437" s="101">
        <f t="shared" si="494"/>
        <v>0</v>
      </c>
      <c r="AB437" s="688">
        <f t="shared" si="495"/>
        <v>0</v>
      </c>
      <c r="AC437" s="689"/>
    </row>
    <row r="438" spans="3:29" x14ac:dyDescent="0.2">
      <c r="C438" s="95">
        <v>367</v>
      </c>
      <c r="D438" s="101" t="str">
        <f t="shared" si="480"/>
        <v>$0.00</v>
      </c>
      <c r="E438" s="101" t="str">
        <f t="shared" si="481"/>
        <v>$0.00</v>
      </c>
      <c r="F438" s="101" t="str">
        <f t="shared" si="482"/>
        <v>$0.00</v>
      </c>
      <c r="G438" s="688" t="str">
        <f t="shared" si="483"/>
        <v>$0.00</v>
      </c>
      <c r="H438" s="689"/>
      <c r="J438" s="95">
        <v>367</v>
      </c>
      <c r="K438" s="96">
        <f t="shared" si="484"/>
        <v>0</v>
      </c>
      <c r="L438" s="96">
        <f t="shared" si="485"/>
        <v>0</v>
      </c>
      <c r="M438" s="96">
        <f t="shared" si="486"/>
        <v>0</v>
      </c>
      <c r="N438" s="688">
        <f t="shared" si="487"/>
        <v>0</v>
      </c>
      <c r="O438" s="689"/>
      <c r="Q438" s="95">
        <v>367</v>
      </c>
      <c r="R438" s="101" t="str">
        <f t="shared" si="488"/>
        <v>$0.00</v>
      </c>
      <c r="S438" s="101" t="str">
        <f t="shared" si="489"/>
        <v>$0.00</v>
      </c>
      <c r="T438" s="101" t="str">
        <f t="shared" si="490"/>
        <v>$0.00</v>
      </c>
      <c r="U438" s="688" t="str">
        <f t="shared" si="491"/>
        <v>$0.00</v>
      </c>
      <c r="V438" s="689"/>
      <c r="X438" s="95">
        <v>367</v>
      </c>
      <c r="Y438" s="101" t="str">
        <f t="shared" si="492"/>
        <v>$0.00</v>
      </c>
      <c r="Z438" s="101" t="str">
        <f t="shared" si="493"/>
        <v>$0.00</v>
      </c>
      <c r="AA438" s="101" t="str">
        <f t="shared" si="494"/>
        <v>$0.00</v>
      </c>
      <c r="AB438" s="688" t="str">
        <f t="shared" si="495"/>
        <v>$0.00</v>
      </c>
      <c r="AC438" s="689"/>
    </row>
    <row r="439" spans="3:29" x14ac:dyDescent="0.2">
      <c r="C439" s="95">
        <v>368</v>
      </c>
      <c r="D439" s="101">
        <f t="shared" si="480"/>
        <v>0</v>
      </c>
      <c r="E439" s="101">
        <f t="shared" si="481"/>
        <v>0</v>
      </c>
      <c r="F439" s="101">
        <f t="shared" si="482"/>
        <v>0</v>
      </c>
      <c r="G439" s="688">
        <f t="shared" si="483"/>
        <v>0</v>
      </c>
      <c r="H439" s="689"/>
      <c r="J439" s="95">
        <v>368</v>
      </c>
      <c r="K439" s="96">
        <f t="shared" si="484"/>
        <v>0</v>
      </c>
      <c r="L439" s="96">
        <f t="shared" si="485"/>
        <v>0</v>
      </c>
      <c r="M439" s="96">
        <f t="shared" si="486"/>
        <v>0</v>
      </c>
      <c r="N439" s="688">
        <f t="shared" si="487"/>
        <v>0</v>
      </c>
      <c r="O439" s="689"/>
      <c r="Q439" s="95">
        <v>368</v>
      </c>
      <c r="R439" s="101">
        <f t="shared" si="488"/>
        <v>0</v>
      </c>
      <c r="S439" s="101">
        <f t="shared" si="489"/>
        <v>0</v>
      </c>
      <c r="T439" s="101">
        <f t="shared" si="490"/>
        <v>0</v>
      </c>
      <c r="U439" s="688">
        <f t="shared" si="491"/>
        <v>0</v>
      </c>
      <c r="V439" s="689"/>
      <c r="X439" s="95">
        <v>368</v>
      </c>
      <c r="Y439" s="101">
        <f t="shared" si="492"/>
        <v>0</v>
      </c>
      <c r="Z439" s="101">
        <f t="shared" si="493"/>
        <v>0</v>
      </c>
      <c r="AA439" s="101">
        <f t="shared" si="494"/>
        <v>0</v>
      </c>
      <c r="AB439" s="688">
        <f t="shared" si="495"/>
        <v>0</v>
      </c>
      <c r="AC439" s="689"/>
    </row>
    <row r="440" spans="3:29" x14ac:dyDescent="0.2">
      <c r="C440" s="95">
        <v>369</v>
      </c>
      <c r="D440" s="101" t="str">
        <f t="shared" si="480"/>
        <v>$0.00</v>
      </c>
      <c r="E440" s="101" t="str">
        <f t="shared" si="481"/>
        <v>$0.00</v>
      </c>
      <c r="F440" s="101" t="str">
        <f t="shared" si="482"/>
        <v>$0.00</v>
      </c>
      <c r="G440" s="688" t="str">
        <f t="shared" si="483"/>
        <v>$0.00</v>
      </c>
      <c r="H440" s="689"/>
      <c r="J440" s="95">
        <v>369</v>
      </c>
      <c r="K440" s="96">
        <f t="shared" si="484"/>
        <v>0</v>
      </c>
      <c r="L440" s="96">
        <f t="shared" si="485"/>
        <v>0</v>
      </c>
      <c r="M440" s="96">
        <f t="shared" si="486"/>
        <v>0</v>
      </c>
      <c r="N440" s="688">
        <f t="shared" si="487"/>
        <v>0</v>
      </c>
      <c r="O440" s="689"/>
      <c r="Q440" s="95">
        <v>369</v>
      </c>
      <c r="R440" s="101" t="str">
        <f t="shared" si="488"/>
        <v>$0.00</v>
      </c>
      <c r="S440" s="101" t="str">
        <f t="shared" si="489"/>
        <v>$0.00</v>
      </c>
      <c r="T440" s="101" t="str">
        <f t="shared" si="490"/>
        <v>$0.00</v>
      </c>
      <c r="U440" s="688" t="str">
        <f t="shared" si="491"/>
        <v>$0.00</v>
      </c>
      <c r="V440" s="689"/>
      <c r="X440" s="95">
        <v>369</v>
      </c>
      <c r="Y440" s="101" t="str">
        <f t="shared" si="492"/>
        <v>$0.00</v>
      </c>
      <c r="Z440" s="101" t="str">
        <f t="shared" si="493"/>
        <v>$0.00</v>
      </c>
      <c r="AA440" s="101" t="str">
        <f t="shared" si="494"/>
        <v>$0.00</v>
      </c>
      <c r="AB440" s="688" t="str">
        <f t="shared" si="495"/>
        <v>$0.00</v>
      </c>
      <c r="AC440" s="689"/>
    </row>
    <row r="441" spans="3:29" x14ac:dyDescent="0.2">
      <c r="C441" s="95">
        <v>370</v>
      </c>
      <c r="D441" s="101">
        <f t="shared" si="480"/>
        <v>0</v>
      </c>
      <c r="E441" s="101">
        <f t="shared" si="481"/>
        <v>0</v>
      </c>
      <c r="F441" s="101">
        <f t="shared" si="482"/>
        <v>0</v>
      </c>
      <c r="G441" s="688">
        <f t="shared" si="483"/>
        <v>0</v>
      </c>
      <c r="H441" s="689"/>
      <c r="J441" s="95">
        <v>370</v>
      </c>
      <c r="K441" s="96">
        <f t="shared" si="484"/>
        <v>0</v>
      </c>
      <c r="L441" s="96">
        <f t="shared" si="485"/>
        <v>0</v>
      </c>
      <c r="M441" s="96">
        <f t="shared" si="486"/>
        <v>0</v>
      </c>
      <c r="N441" s="688">
        <f t="shared" si="487"/>
        <v>0</v>
      </c>
      <c r="O441" s="689"/>
      <c r="Q441" s="95">
        <v>370</v>
      </c>
      <c r="R441" s="101">
        <f t="shared" si="488"/>
        <v>0</v>
      </c>
      <c r="S441" s="101">
        <f t="shared" si="489"/>
        <v>0</v>
      </c>
      <c r="T441" s="101">
        <f t="shared" si="490"/>
        <v>0</v>
      </c>
      <c r="U441" s="688">
        <f t="shared" si="491"/>
        <v>0</v>
      </c>
      <c r="V441" s="689"/>
      <c r="X441" s="95">
        <v>370</v>
      </c>
      <c r="Y441" s="101">
        <f t="shared" si="492"/>
        <v>0</v>
      </c>
      <c r="Z441" s="101">
        <f t="shared" si="493"/>
        <v>0</v>
      </c>
      <c r="AA441" s="101">
        <f t="shared" si="494"/>
        <v>0</v>
      </c>
      <c r="AB441" s="688">
        <f t="shared" si="495"/>
        <v>0</v>
      </c>
      <c r="AC441" s="689"/>
    </row>
    <row r="442" spans="3:29" x14ac:dyDescent="0.2">
      <c r="C442" s="95">
        <v>371</v>
      </c>
      <c r="D442" s="101" t="str">
        <f t="shared" si="480"/>
        <v>$0.00</v>
      </c>
      <c r="E442" s="101" t="str">
        <f t="shared" si="481"/>
        <v>$0.00</v>
      </c>
      <c r="F442" s="101" t="str">
        <f t="shared" si="482"/>
        <v>$0.00</v>
      </c>
      <c r="G442" s="688" t="str">
        <f t="shared" si="483"/>
        <v>$0.00</v>
      </c>
      <c r="H442" s="689"/>
      <c r="J442" s="95">
        <v>371</v>
      </c>
      <c r="K442" s="96">
        <f t="shared" si="484"/>
        <v>0</v>
      </c>
      <c r="L442" s="96">
        <f t="shared" si="485"/>
        <v>0</v>
      </c>
      <c r="M442" s="96">
        <f t="shared" si="486"/>
        <v>0</v>
      </c>
      <c r="N442" s="688">
        <f t="shared" si="487"/>
        <v>0</v>
      </c>
      <c r="O442" s="689"/>
      <c r="Q442" s="95">
        <v>371</v>
      </c>
      <c r="R442" s="101" t="str">
        <f t="shared" si="488"/>
        <v>$0.00</v>
      </c>
      <c r="S442" s="101" t="str">
        <f t="shared" si="489"/>
        <v>$0.00</v>
      </c>
      <c r="T442" s="101" t="str">
        <f t="shared" si="490"/>
        <v>$0.00</v>
      </c>
      <c r="U442" s="688" t="str">
        <f t="shared" si="491"/>
        <v>$0.00</v>
      </c>
      <c r="V442" s="689"/>
      <c r="X442" s="95">
        <v>371</v>
      </c>
      <c r="Y442" s="101" t="str">
        <f t="shared" si="492"/>
        <v>$0.00</v>
      </c>
      <c r="Z442" s="101" t="str">
        <f t="shared" si="493"/>
        <v>$0.00</v>
      </c>
      <c r="AA442" s="101" t="str">
        <f t="shared" si="494"/>
        <v>$0.00</v>
      </c>
      <c r="AB442" s="688" t="str">
        <f t="shared" si="495"/>
        <v>$0.00</v>
      </c>
      <c r="AC442" s="689"/>
    </row>
    <row r="443" spans="3:29" x14ac:dyDescent="0.2">
      <c r="C443" s="95">
        <v>372</v>
      </c>
      <c r="D443" s="101">
        <f t="shared" si="480"/>
        <v>0</v>
      </c>
      <c r="E443" s="101">
        <f t="shared" si="481"/>
        <v>0</v>
      </c>
      <c r="F443" s="101">
        <f t="shared" si="482"/>
        <v>0</v>
      </c>
      <c r="G443" s="690">
        <f t="shared" si="483"/>
        <v>0</v>
      </c>
      <c r="H443" s="691"/>
      <c r="J443" s="95">
        <v>372</v>
      </c>
      <c r="K443" s="96">
        <f t="shared" si="484"/>
        <v>0</v>
      </c>
      <c r="L443" s="96">
        <f t="shared" si="485"/>
        <v>0</v>
      </c>
      <c r="M443" s="96">
        <f t="shared" si="486"/>
        <v>0</v>
      </c>
      <c r="N443" s="690">
        <f t="shared" si="487"/>
        <v>0</v>
      </c>
      <c r="O443" s="691"/>
      <c r="Q443" s="95">
        <v>372</v>
      </c>
      <c r="R443" s="101">
        <f t="shared" si="488"/>
        <v>0</v>
      </c>
      <c r="S443" s="101">
        <f t="shared" si="489"/>
        <v>0</v>
      </c>
      <c r="T443" s="101">
        <f t="shared" si="490"/>
        <v>0</v>
      </c>
      <c r="U443" s="690">
        <f t="shared" si="491"/>
        <v>0</v>
      </c>
      <c r="V443" s="691"/>
      <c r="X443" s="95">
        <v>372</v>
      </c>
      <c r="Y443" s="101">
        <f t="shared" si="492"/>
        <v>0</v>
      </c>
      <c r="Z443" s="101">
        <f t="shared" si="493"/>
        <v>0</v>
      </c>
      <c r="AA443" s="101">
        <f t="shared" si="494"/>
        <v>0</v>
      </c>
      <c r="AB443" s="690">
        <f t="shared" si="495"/>
        <v>0</v>
      </c>
      <c r="AC443" s="691"/>
    </row>
    <row r="444" spans="3:29" x14ac:dyDescent="0.2">
      <c r="C444" s="97" t="s">
        <v>822</v>
      </c>
      <c r="D444" s="104">
        <f>SUM(D432:D443)</f>
        <v>0</v>
      </c>
      <c r="E444" s="104">
        <f>SUM(E432:E443)</f>
        <v>0</v>
      </c>
      <c r="F444" s="104">
        <f>SUM(F432:F443)</f>
        <v>0</v>
      </c>
      <c r="G444" s="692">
        <f>G443</f>
        <v>0</v>
      </c>
      <c r="H444" s="693"/>
      <c r="J444" s="97" t="s">
        <v>822</v>
      </c>
      <c r="K444" s="86">
        <f>SUM(K432:K443)</f>
        <v>0</v>
      </c>
      <c r="L444" s="86">
        <f>SUM(L432:L443)</f>
        <v>0</v>
      </c>
      <c r="M444" s="86">
        <f>SUM(M432:M443)</f>
        <v>0</v>
      </c>
      <c r="N444" s="692">
        <f>N443</f>
        <v>0</v>
      </c>
      <c r="O444" s="711"/>
      <c r="Q444" s="97" t="s">
        <v>822</v>
      </c>
      <c r="R444" s="104">
        <f>SUM(R432:R443)</f>
        <v>0</v>
      </c>
      <c r="S444" s="104">
        <f>SUM(S432:S443)</f>
        <v>0</v>
      </c>
      <c r="T444" s="104">
        <f>SUM(T432:T443)</f>
        <v>0</v>
      </c>
      <c r="U444" s="692">
        <f>U443</f>
        <v>0</v>
      </c>
      <c r="V444" s="693"/>
      <c r="X444" s="97" t="s">
        <v>822</v>
      </c>
      <c r="Y444" s="104">
        <f>SUM(Y432:Y443)</f>
        <v>0</v>
      </c>
      <c r="Z444" s="104">
        <f>SUM(Z432:Z443)</f>
        <v>0</v>
      </c>
      <c r="AA444" s="104">
        <f>SUM(AA432:AA443)</f>
        <v>0</v>
      </c>
      <c r="AB444" s="692">
        <f>AB443</f>
        <v>0</v>
      </c>
      <c r="AC444" s="693"/>
    </row>
    <row r="445" spans="3:29" x14ac:dyDescent="0.2">
      <c r="C445" s="95">
        <v>373</v>
      </c>
      <c r="D445" s="101" t="str">
        <f t="shared" ref="D445:D456" si="496">IF(G444&gt;0,G444*($E$36)/12,"$0.00")</f>
        <v>$0.00</v>
      </c>
      <c r="E445" s="101" t="str">
        <f t="shared" ref="E445:E456" si="497">IF(G444&gt;0,IF($E$38=4,"$0.00",IF($E$38=3,"$0.00",IF($E$38=2,"$0.00",+$G$39-D445))),"$0.00")</f>
        <v>$0.00</v>
      </c>
      <c r="F445" s="101" t="str">
        <f t="shared" ref="F445:F456" si="498">IF(G444=0,"$0.00",IF($E$38=4,"$0.00",IF($E$38=3,"$0.00",IF($E$38=2,D445,D445+E445))))</f>
        <v>$0.00</v>
      </c>
      <c r="G445" s="688" t="str">
        <f t="shared" ref="G445:G456" si="499">IF(G444=0,"$0.00",IF($E$38=4,G444+D445,IF($E$38=3,G444+D445,IF($E$38=2,G444,G444-E445))))</f>
        <v>$0.00</v>
      </c>
      <c r="H445" s="689"/>
      <c r="J445" s="95">
        <v>373</v>
      </c>
      <c r="K445" s="96">
        <f t="shared" ref="K445:K456" si="500">N444*($L$36)/12</f>
        <v>0</v>
      </c>
      <c r="L445" s="96">
        <f t="shared" ref="L445:L456" si="501">IF(L441=4,"$0.00",+$N$39-K445)</f>
        <v>0</v>
      </c>
      <c r="M445" s="96">
        <f t="shared" ref="M445:M456" si="502">IF(L441=4,"$0.00",K445+L445)</f>
        <v>0</v>
      </c>
      <c r="N445" s="709">
        <f t="shared" ref="N445:N456" si="503">IF(L441=4,N444+K445,N444-L445)</f>
        <v>0</v>
      </c>
      <c r="O445" s="710"/>
      <c r="Q445" s="95">
        <v>373</v>
      </c>
      <c r="R445" s="101" t="str">
        <f t="shared" ref="R445:R456" si="504">IF(U444&gt;0,U444*($S$36)/12,"$0.00")</f>
        <v>$0.00</v>
      </c>
      <c r="S445" s="101" t="str">
        <f t="shared" ref="S445:S456" si="505">IF(U444&gt;0,IF($S$38=4,"$0.00",IF($S$38=3,"$0.00",IF($S$38=2,"$0.00",+$U$39-R445))),"$0.00")</f>
        <v>$0.00</v>
      </c>
      <c r="T445" s="101" t="str">
        <f t="shared" ref="T445:T456" si="506">IF(U444=0,"$0.00",IF($S$38=4,"$0.00",IF($S$38=3,"$0.00",IF($S$38=2,R445,R445+S445))))</f>
        <v>$0.00</v>
      </c>
      <c r="U445" s="688" t="str">
        <f t="shared" ref="U445:U456" si="507">IF(U444=0,"$0.00",IF($S$38=4,U444+R445,IF($S$38=3,U444+R445,IF($S$38=2,U444,U444-S445))))</f>
        <v>$0.00</v>
      </c>
      <c r="V445" s="689"/>
      <c r="X445" s="95">
        <v>373</v>
      </c>
      <c r="Y445" s="101" t="str">
        <f t="shared" ref="Y445:Y456" si="508">IF(AB444&gt;0,AB444*($Z$36)/12,"$0.00")</f>
        <v>$0.00</v>
      </c>
      <c r="Z445" s="101" t="str">
        <f t="shared" ref="Z445:Z456" si="509">IF(AB444&gt;0,IF($Z$38=4,"$0.00",IF($Z$38=3,"$0.00",IF($Z$38=2,"$0.00",+$AB$39-Y445))),"$0.00")</f>
        <v>$0.00</v>
      </c>
      <c r="AA445" s="101" t="str">
        <f t="shared" ref="AA445:AA456" si="510">IF(AB444=0,"$0.00",IF($Z$38=4,"$0.00",IF($Z$38=3,"$0.00",IF($Z$38=2,Y445,Y445+Z445))))</f>
        <v>$0.00</v>
      </c>
      <c r="AB445" s="688" t="str">
        <f t="shared" ref="AB445:AB456" si="511">IF(AB444=0,"$0.00",IF($Z$38=4,AB444+Y445,IF($Z$38=3,AB444+Y445,IF($Z$38=2,AB444,AB444-Z445))))</f>
        <v>$0.00</v>
      </c>
      <c r="AC445" s="689"/>
    </row>
    <row r="446" spans="3:29" x14ac:dyDescent="0.2">
      <c r="C446" s="95">
        <v>374</v>
      </c>
      <c r="D446" s="101">
        <f t="shared" si="496"/>
        <v>0</v>
      </c>
      <c r="E446" s="101">
        <f t="shared" si="497"/>
        <v>0</v>
      </c>
      <c r="F446" s="101">
        <f t="shared" si="498"/>
        <v>0</v>
      </c>
      <c r="G446" s="688">
        <f t="shared" si="499"/>
        <v>0</v>
      </c>
      <c r="H446" s="689"/>
      <c r="J446" s="95">
        <v>374</v>
      </c>
      <c r="K446" s="96">
        <f t="shared" si="500"/>
        <v>0</v>
      </c>
      <c r="L446" s="96">
        <f t="shared" si="501"/>
        <v>0</v>
      </c>
      <c r="M446" s="96">
        <f t="shared" si="502"/>
        <v>0</v>
      </c>
      <c r="N446" s="688">
        <f t="shared" si="503"/>
        <v>0</v>
      </c>
      <c r="O446" s="689"/>
      <c r="Q446" s="95">
        <v>374</v>
      </c>
      <c r="R446" s="101">
        <f t="shared" si="504"/>
        <v>0</v>
      </c>
      <c r="S446" s="101">
        <f t="shared" si="505"/>
        <v>0</v>
      </c>
      <c r="T446" s="101">
        <f t="shared" si="506"/>
        <v>0</v>
      </c>
      <c r="U446" s="688">
        <f t="shared" si="507"/>
        <v>0</v>
      </c>
      <c r="V446" s="689"/>
      <c r="X446" s="95">
        <v>374</v>
      </c>
      <c r="Y446" s="101">
        <f t="shared" si="508"/>
        <v>0</v>
      </c>
      <c r="Z446" s="101">
        <f t="shared" si="509"/>
        <v>0</v>
      </c>
      <c r="AA446" s="101">
        <f t="shared" si="510"/>
        <v>0</v>
      </c>
      <c r="AB446" s="688">
        <f t="shared" si="511"/>
        <v>0</v>
      </c>
      <c r="AC446" s="689"/>
    </row>
    <row r="447" spans="3:29" x14ac:dyDescent="0.2">
      <c r="C447" s="95">
        <v>375</v>
      </c>
      <c r="D447" s="101" t="str">
        <f t="shared" si="496"/>
        <v>$0.00</v>
      </c>
      <c r="E447" s="101" t="str">
        <f t="shared" si="497"/>
        <v>$0.00</v>
      </c>
      <c r="F447" s="101" t="str">
        <f t="shared" si="498"/>
        <v>$0.00</v>
      </c>
      <c r="G447" s="688" t="str">
        <f t="shared" si="499"/>
        <v>$0.00</v>
      </c>
      <c r="H447" s="689"/>
      <c r="J447" s="95">
        <v>375</v>
      </c>
      <c r="K447" s="96">
        <f t="shared" si="500"/>
        <v>0</v>
      </c>
      <c r="L447" s="96">
        <f t="shared" si="501"/>
        <v>0</v>
      </c>
      <c r="M447" s="96">
        <f t="shared" si="502"/>
        <v>0</v>
      </c>
      <c r="N447" s="688">
        <f t="shared" si="503"/>
        <v>0</v>
      </c>
      <c r="O447" s="689"/>
      <c r="Q447" s="95">
        <v>375</v>
      </c>
      <c r="R447" s="101" t="str">
        <f t="shared" si="504"/>
        <v>$0.00</v>
      </c>
      <c r="S447" s="101" t="str">
        <f t="shared" si="505"/>
        <v>$0.00</v>
      </c>
      <c r="T447" s="101" t="str">
        <f t="shared" si="506"/>
        <v>$0.00</v>
      </c>
      <c r="U447" s="688" t="str">
        <f t="shared" si="507"/>
        <v>$0.00</v>
      </c>
      <c r="V447" s="689"/>
      <c r="X447" s="95">
        <v>375</v>
      </c>
      <c r="Y447" s="101" t="str">
        <f t="shared" si="508"/>
        <v>$0.00</v>
      </c>
      <c r="Z447" s="101" t="str">
        <f t="shared" si="509"/>
        <v>$0.00</v>
      </c>
      <c r="AA447" s="101" t="str">
        <f t="shared" si="510"/>
        <v>$0.00</v>
      </c>
      <c r="AB447" s="688" t="str">
        <f t="shared" si="511"/>
        <v>$0.00</v>
      </c>
      <c r="AC447" s="689"/>
    </row>
    <row r="448" spans="3:29" x14ac:dyDescent="0.2">
      <c r="C448" s="95">
        <v>376</v>
      </c>
      <c r="D448" s="101">
        <f t="shared" si="496"/>
        <v>0</v>
      </c>
      <c r="E448" s="101">
        <f t="shared" si="497"/>
        <v>0</v>
      </c>
      <c r="F448" s="101">
        <f t="shared" si="498"/>
        <v>0</v>
      </c>
      <c r="G448" s="688">
        <f t="shared" si="499"/>
        <v>0</v>
      </c>
      <c r="H448" s="689"/>
      <c r="J448" s="95">
        <v>376</v>
      </c>
      <c r="K448" s="96">
        <f t="shared" si="500"/>
        <v>0</v>
      </c>
      <c r="L448" s="96">
        <f t="shared" si="501"/>
        <v>0</v>
      </c>
      <c r="M448" s="96">
        <f t="shared" si="502"/>
        <v>0</v>
      </c>
      <c r="N448" s="688">
        <f t="shared" si="503"/>
        <v>0</v>
      </c>
      <c r="O448" s="689"/>
      <c r="Q448" s="95">
        <v>376</v>
      </c>
      <c r="R448" s="101">
        <f t="shared" si="504"/>
        <v>0</v>
      </c>
      <c r="S448" s="101">
        <f t="shared" si="505"/>
        <v>0</v>
      </c>
      <c r="T448" s="101">
        <f t="shared" si="506"/>
        <v>0</v>
      </c>
      <c r="U448" s="688">
        <f t="shared" si="507"/>
        <v>0</v>
      </c>
      <c r="V448" s="689"/>
      <c r="X448" s="95">
        <v>376</v>
      </c>
      <c r="Y448" s="101">
        <f t="shared" si="508"/>
        <v>0</v>
      </c>
      <c r="Z448" s="101">
        <f t="shared" si="509"/>
        <v>0</v>
      </c>
      <c r="AA448" s="101">
        <f t="shared" si="510"/>
        <v>0</v>
      </c>
      <c r="AB448" s="688">
        <f t="shared" si="511"/>
        <v>0</v>
      </c>
      <c r="AC448" s="689"/>
    </row>
    <row r="449" spans="3:29" x14ac:dyDescent="0.2">
      <c r="C449" s="95">
        <v>377</v>
      </c>
      <c r="D449" s="101" t="str">
        <f t="shared" si="496"/>
        <v>$0.00</v>
      </c>
      <c r="E449" s="101" t="str">
        <f t="shared" si="497"/>
        <v>$0.00</v>
      </c>
      <c r="F449" s="101" t="str">
        <f t="shared" si="498"/>
        <v>$0.00</v>
      </c>
      <c r="G449" s="688" t="str">
        <f t="shared" si="499"/>
        <v>$0.00</v>
      </c>
      <c r="H449" s="689"/>
      <c r="J449" s="95">
        <v>377</v>
      </c>
      <c r="K449" s="96">
        <f t="shared" si="500"/>
        <v>0</v>
      </c>
      <c r="L449" s="96">
        <f t="shared" si="501"/>
        <v>0</v>
      </c>
      <c r="M449" s="96">
        <f t="shared" si="502"/>
        <v>0</v>
      </c>
      <c r="N449" s="688">
        <f t="shared" si="503"/>
        <v>0</v>
      </c>
      <c r="O449" s="689"/>
      <c r="Q449" s="95">
        <v>377</v>
      </c>
      <c r="R449" s="101" t="str">
        <f t="shared" si="504"/>
        <v>$0.00</v>
      </c>
      <c r="S449" s="101" t="str">
        <f t="shared" si="505"/>
        <v>$0.00</v>
      </c>
      <c r="T449" s="101" t="str">
        <f t="shared" si="506"/>
        <v>$0.00</v>
      </c>
      <c r="U449" s="688" t="str">
        <f t="shared" si="507"/>
        <v>$0.00</v>
      </c>
      <c r="V449" s="689"/>
      <c r="X449" s="95">
        <v>377</v>
      </c>
      <c r="Y449" s="101" t="str">
        <f t="shared" si="508"/>
        <v>$0.00</v>
      </c>
      <c r="Z449" s="101" t="str">
        <f t="shared" si="509"/>
        <v>$0.00</v>
      </c>
      <c r="AA449" s="101" t="str">
        <f t="shared" si="510"/>
        <v>$0.00</v>
      </c>
      <c r="AB449" s="688" t="str">
        <f t="shared" si="511"/>
        <v>$0.00</v>
      </c>
      <c r="AC449" s="689"/>
    </row>
    <row r="450" spans="3:29" x14ac:dyDescent="0.2">
      <c r="C450" s="95">
        <v>378</v>
      </c>
      <c r="D450" s="101">
        <f t="shared" si="496"/>
        <v>0</v>
      </c>
      <c r="E450" s="101">
        <f t="shared" si="497"/>
        <v>0</v>
      </c>
      <c r="F450" s="101">
        <f t="shared" si="498"/>
        <v>0</v>
      </c>
      <c r="G450" s="688">
        <f t="shared" si="499"/>
        <v>0</v>
      </c>
      <c r="H450" s="689"/>
      <c r="J450" s="95">
        <v>378</v>
      </c>
      <c r="K450" s="96">
        <f t="shared" si="500"/>
        <v>0</v>
      </c>
      <c r="L450" s="96">
        <f t="shared" si="501"/>
        <v>0</v>
      </c>
      <c r="M450" s="96">
        <f t="shared" si="502"/>
        <v>0</v>
      </c>
      <c r="N450" s="688">
        <f t="shared" si="503"/>
        <v>0</v>
      </c>
      <c r="O450" s="689"/>
      <c r="Q450" s="95">
        <v>378</v>
      </c>
      <c r="R450" s="101">
        <f t="shared" si="504"/>
        <v>0</v>
      </c>
      <c r="S450" s="101">
        <f t="shared" si="505"/>
        <v>0</v>
      </c>
      <c r="T450" s="101">
        <f t="shared" si="506"/>
        <v>0</v>
      </c>
      <c r="U450" s="688">
        <f t="shared" si="507"/>
        <v>0</v>
      </c>
      <c r="V450" s="689"/>
      <c r="X450" s="95">
        <v>378</v>
      </c>
      <c r="Y450" s="101">
        <f t="shared" si="508"/>
        <v>0</v>
      </c>
      <c r="Z450" s="101">
        <f t="shared" si="509"/>
        <v>0</v>
      </c>
      <c r="AA450" s="101">
        <f t="shared" si="510"/>
        <v>0</v>
      </c>
      <c r="AB450" s="688">
        <f t="shared" si="511"/>
        <v>0</v>
      </c>
      <c r="AC450" s="689"/>
    </row>
    <row r="451" spans="3:29" x14ac:dyDescent="0.2">
      <c r="C451" s="95">
        <v>379</v>
      </c>
      <c r="D451" s="101" t="str">
        <f t="shared" si="496"/>
        <v>$0.00</v>
      </c>
      <c r="E451" s="101" t="str">
        <f t="shared" si="497"/>
        <v>$0.00</v>
      </c>
      <c r="F451" s="101" t="str">
        <f t="shared" si="498"/>
        <v>$0.00</v>
      </c>
      <c r="G451" s="688" t="str">
        <f t="shared" si="499"/>
        <v>$0.00</v>
      </c>
      <c r="H451" s="689"/>
      <c r="J451" s="95">
        <v>379</v>
      </c>
      <c r="K451" s="96">
        <f t="shared" si="500"/>
        <v>0</v>
      </c>
      <c r="L451" s="96">
        <f t="shared" si="501"/>
        <v>0</v>
      </c>
      <c r="M451" s="96">
        <f t="shared" si="502"/>
        <v>0</v>
      </c>
      <c r="N451" s="688">
        <f t="shared" si="503"/>
        <v>0</v>
      </c>
      <c r="O451" s="689"/>
      <c r="Q451" s="95">
        <v>379</v>
      </c>
      <c r="R451" s="101" t="str">
        <f t="shared" si="504"/>
        <v>$0.00</v>
      </c>
      <c r="S451" s="101" t="str">
        <f t="shared" si="505"/>
        <v>$0.00</v>
      </c>
      <c r="T451" s="101" t="str">
        <f t="shared" si="506"/>
        <v>$0.00</v>
      </c>
      <c r="U451" s="688" t="str">
        <f t="shared" si="507"/>
        <v>$0.00</v>
      </c>
      <c r="V451" s="689"/>
      <c r="X451" s="95">
        <v>379</v>
      </c>
      <c r="Y451" s="101" t="str">
        <f t="shared" si="508"/>
        <v>$0.00</v>
      </c>
      <c r="Z451" s="101" t="str">
        <f t="shared" si="509"/>
        <v>$0.00</v>
      </c>
      <c r="AA451" s="101" t="str">
        <f t="shared" si="510"/>
        <v>$0.00</v>
      </c>
      <c r="AB451" s="688" t="str">
        <f t="shared" si="511"/>
        <v>$0.00</v>
      </c>
      <c r="AC451" s="689"/>
    </row>
    <row r="452" spans="3:29" x14ac:dyDescent="0.2">
      <c r="C452" s="95">
        <v>380</v>
      </c>
      <c r="D452" s="101">
        <f t="shared" si="496"/>
        <v>0</v>
      </c>
      <c r="E452" s="101">
        <f t="shared" si="497"/>
        <v>0</v>
      </c>
      <c r="F452" s="101">
        <f t="shared" si="498"/>
        <v>0</v>
      </c>
      <c r="G452" s="688">
        <f t="shared" si="499"/>
        <v>0</v>
      </c>
      <c r="H452" s="689"/>
      <c r="J452" s="95">
        <v>380</v>
      </c>
      <c r="K452" s="96">
        <f t="shared" si="500"/>
        <v>0</v>
      </c>
      <c r="L452" s="96">
        <f t="shared" si="501"/>
        <v>0</v>
      </c>
      <c r="M452" s="96">
        <f t="shared" si="502"/>
        <v>0</v>
      </c>
      <c r="N452" s="688">
        <f t="shared" si="503"/>
        <v>0</v>
      </c>
      <c r="O452" s="689"/>
      <c r="Q452" s="95">
        <v>380</v>
      </c>
      <c r="R452" s="101">
        <f t="shared" si="504"/>
        <v>0</v>
      </c>
      <c r="S452" s="101">
        <f t="shared" si="505"/>
        <v>0</v>
      </c>
      <c r="T452" s="101">
        <f t="shared" si="506"/>
        <v>0</v>
      </c>
      <c r="U452" s="688">
        <f t="shared" si="507"/>
        <v>0</v>
      </c>
      <c r="V452" s="689"/>
      <c r="X452" s="95">
        <v>380</v>
      </c>
      <c r="Y452" s="101">
        <f t="shared" si="508"/>
        <v>0</v>
      </c>
      <c r="Z452" s="101">
        <f t="shared" si="509"/>
        <v>0</v>
      </c>
      <c r="AA452" s="101">
        <f t="shared" si="510"/>
        <v>0</v>
      </c>
      <c r="AB452" s="688">
        <f t="shared" si="511"/>
        <v>0</v>
      </c>
      <c r="AC452" s="689"/>
    </row>
    <row r="453" spans="3:29" x14ac:dyDescent="0.2">
      <c r="C453" s="95">
        <v>381</v>
      </c>
      <c r="D453" s="101" t="str">
        <f t="shared" si="496"/>
        <v>$0.00</v>
      </c>
      <c r="E453" s="101" t="str">
        <f t="shared" si="497"/>
        <v>$0.00</v>
      </c>
      <c r="F453" s="101" t="str">
        <f t="shared" si="498"/>
        <v>$0.00</v>
      </c>
      <c r="G453" s="688" t="str">
        <f t="shared" si="499"/>
        <v>$0.00</v>
      </c>
      <c r="H453" s="689"/>
      <c r="J453" s="95">
        <v>381</v>
      </c>
      <c r="K453" s="96">
        <f t="shared" si="500"/>
        <v>0</v>
      </c>
      <c r="L453" s="96">
        <f t="shared" si="501"/>
        <v>0</v>
      </c>
      <c r="M453" s="96">
        <f t="shared" si="502"/>
        <v>0</v>
      </c>
      <c r="N453" s="688">
        <f t="shared" si="503"/>
        <v>0</v>
      </c>
      <c r="O453" s="689"/>
      <c r="Q453" s="95">
        <v>381</v>
      </c>
      <c r="R453" s="101" t="str">
        <f t="shared" si="504"/>
        <v>$0.00</v>
      </c>
      <c r="S453" s="101" t="str">
        <f t="shared" si="505"/>
        <v>$0.00</v>
      </c>
      <c r="T453" s="101" t="str">
        <f t="shared" si="506"/>
        <v>$0.00</v>
      </c>
      <c r="U453" s="688" t="str">
        <f t="shared" si="507"/>
        <v>$0.00</v>
      </c>
      <c r="V453" s="689"/>
      <c r="X453" s="95">
        <v>381</v>
      </c>
      <c r="Y453" s="101" t="str">
        <f t="shared" si="508"/>
        <v>$0.00</v>
      </c>
      <c r="Z453" s="101" t="str">
        <f t="shared" si="509"/>
        <v>$0.00</v>
      </c>
      <c r="AA453" s="101" t="str">
        <f t="shared" si="510"/>
        <v>$0.00</v>
      </c>
      <c r="AB453" s="688" t="str">
        <f t="shared" si="511"/>
        <v>$0.00</v>
      </c>
      <c r="AC453" s="689"/>
    </row>
    <row r="454" spans="3:29" x14ac:dyDescent="0.2">
      <c r="C454" s="95">
        <v>382</v>
      </c>
      <c r="D454" s="101">
        <f t="shared" si="496"/>
        <v>0</v>
      </c>
      <c r="E454" s="101">
        <f t="shared" si="497"/>
        <v>0</v>
      </c>
      <c r="F454" s="101">
        <f t="shared" si="498"/>
        <v>0</v>
      </c>
      <c r="G454" s="688">
        <f t="shared" si="499"/>
        <v>0</v>
      </c>
      <c r="H454" s="689"/>
      <c r="J454" s="95">
        <v>382</v>
      </c>
      <c r="K454" s="96">
        <f t="shared" si="500"/>
        <v>0</v>
      </c>
      <c r="L454" s="96">
        <f t="shared" si="501"/>
        <v>0</v>
      </c>
      <c r="M454" s="96">
        <f t="shared" si="502"/>
        <v>0</v>
      </c>
      <c r="N454" s="688">
        <f t="shared" si="503"/>
        <v>0</v>
      </c>
      <c r="O454" s="689"/>
      <c r="Q454" s="95">
        <v>382</v>
      </c>
      <c r="R454" s="101">
        <f t="shared" si="504"/>
        <v>0</v>
      </c>
      <c r="S454" s="101">
        <f t="shared" si="505"/>
        <v>0</v>
      </c>
      <c r="T454" s="101">
        <f t="shared" si="506"/>
        <v>0</v>
      </c>
      <c r="U454" s="688">
        <f t="shared" si="507"/>
        <v>0</v>
      </c>
      <c r="V454" s="689"/>
      <c r="X454" s="95">
        <v>382</v>
      </c>
      <c r="Y454" s="101">
        <f t="shared" si="508"/>
        <v>0</v>
      </c>
      <c r="Z454" s="101">
        <f t="shared" si="509"/>
        <v>0</v>
      </c>
      <c r="AA454" s="101">
        <f t="shared" si="510"/>
        <v>0</v>
      </c>
      <c r="AB454" s="688">
        <f t="shared" si="511"/>
        <v>0</v>
      </c>
      <c r="AC454" s="689"/>
    </row>
    <row r="455" spans="3:29" x14ac:dyDescent="0.2">
      <c r="C455" s="95">
        <v>383</v>
      </c>
      <c r="D455" s="101" t="str">
        <f t="shared" si="496"/>
        <v>$0.00</v>
      </c>
      <c r="E455" s="101" t="str">
        <f t="shared" si="497"/>
        <v>$0.00</v>
      </c>
      <c r="F455" s="101" t="str">
        <f t="shared" si="498"/>
        <v>$0.00</v>
      </c>
      <c r="G455" s="688" t="str">
        <f t="shared" si="499"/>
        <v>$0.00</v>
      </c>
      <c r="H455" s="689"/>
      <c r="J455" s="95">
        <v>383</v>
      </c>
      <c r="K455" s="96">
        <f t="shared" si="500"/>
        <v>0</v>
      </c>
      <c r="L455" s="96">
        <f t="shared" si="501"/>
        <v>0</v>
      </c>
      <c r="M455" s="96">
        <f t="shared" si="502"/>
        <v>0</v>
      </c>
      <c r="N455" s="688">
        <f t="shared" si="503"/>
        <v>0</v>
      </c>
      <c r="O455" s="689"/>
      <c r="Q455" s="95">
        <v>383</v>
      </c>
      <c r="R455" s="101" t="str">
        <f t="shared" si="504"/>
        <v>$0.00</v>
      </c>
      <c r="S455" s="101" t="str">
        <f t="shared" si="505"/>
        <v>$0.00</v>
      </c>
      <c r="T455" s="101" t="str">
        <f t="shared" si="506"/>
        <v>$0.00</v>
      </c>
      <c r="U455" s="688" t="str">
        <f t="shared" si="507"/>
        <v>$0.00</v>
      </c>
      <c r="V455" s="689"/>
      <c r="X455" s="95">
        <v>383</v>
      </c>
      <c r="Y455" s="101" t="str">
        <f t="shared" si="508"/>
        <v>$0.00</v>
      </c>
      <c r="Z455" s="101" t="str">
        <f t="shared" si="509"/>
        <v>$0.00</v>
      </c>
      <c r="AA455" s="101" t="str">
        <f t="shared" si="510"/>
        <v>$0.00</v>
      </c>
      <c r="AB455" s="688" t="str">
        <f t="shared" si="511"/>
        <v>$0.00</v>
      </c>
      <c r="AC455" s="689"/>
    </row>
    <row r="456" spans="3:29" x14ac:dyDescent="0.2">
      <c r="C456" s="95">
        <v>384</v>
      </c>
      <c r="D456" s="101">
        <f t="shared" si="496"/>
        <v>0</v>
      </c>
      <c r="E456" s="101">
        <f t="shared" si="497"/>
        <v>0</v>
      </c>
      <c r="F456" s="101">
        <f t="shared" si="498"/>
        <v>0</v>
      </c>
      <c r="G456" s="690">
        <f t="shared" si="499"/>
        <v>0</v>
      </c>
      <c r="H456" s="691"/>
      <c r="J456" s="95">
        <v>384</v>
      </c>
      <c r="K456" s="96">
        <f t="shared" si="500"/>
        <v>0</v>
      </c>
      <c r="L456" s="96">
        <f t="shared" si="501"/>
        <v>0</v>
      </c>
      <c r="M456" s="96">
        <f t="shared" si="502"/>
        <v>0</v>
      </c>
      <c r="N456" s="690">
        <f t="shared" si="503"/>
        <v>0</v>
      </c>
      <c r="O456" s="691"/>
      <c r="Q456" s="95">
        <v>384</v>
      </c>
      <c r="R456" s="101">
        <f t="shared" si="504"/>
        <v>0</v>
      </c>
      <c r="S456" s="101">
        <f t="shared" si="505"/>
        <v>0</v>
      </c>
      <c r="T456" s="101">
        <f t="shared" si="506"/>
        <v>0</v>
      </c>
      <c r="U456" s="690">
        <f t="shared" si="507"/>
        <v>0</v>
      </c>
      <c r="V456" s="691"/>
      <c r="X456" s="95">
        <v>384</v>
      </c>
      <c r="Y456" s="101">
        <f t="shared" si="508"/>
        <v>0</v>
      </c>
      <c r="Z456" s="101">
        <f t="shared" si="509"/>
        <v>0</v>
      </c>
      <c r="AA456" s="101">
        <f t="shared" si="510"/>
        <v>0</v>
      </c>
      <c r="AB456" s="690">
        <f t="shared" si="511"/>
        <v>0</v>
      </c>
      <c r="AC456" s="691"/>
    </row>
    <row r="457" spans="3:29" x14ac:dyDescent="0.2">
      <c r="C457" s="97" t="s">
        <v>823</v>
      </c>
      <c r="D457" s="104">
        <f>SUM(D445:D456)</f>
        <v>0</v>
      </c>
      <c r="E457" s="104">
        <f>SUM(E445:E456)</f>
        <v>0</v>
      </c>
      <c r="F457" s="104">
        <f>SUM(F445:F456)</f>
        <v>0</v>
      </c>
      <c r="G457" s="692">
        <f>G456</f>
        <v>0</v>
      </c>
      <c r="H457" s="693"/>
      <c r="J457" s="97" t="s">
        <v>823</v>
      </c>
      <c r="K457" s="86">
        <f>SUM(K445:K456)</f>
        <v>0</v>
      </c>
      <c r="L457" s="86">
        <f>SUM(L445:L456)</f>
        <v>0</v>
      </c>
      <c r="M457" s="86">
        <f>SUM(M445:M456)</f>
        <v>0</v>
      </c>
      <c r="N457" s="692">
        <f>N456</f>
        <v>0</v>
      </c>
      <c r="O457" s="711"/>
      <c r="Q457" s="97" t="s">
        <v>823</v>
      </c>
      <c r="R457" s="104">
        <f>SUM(R445:R456)</f>
        <v>0</v>
      </c>
      <c r="S457" s="104">
        <f>SUM(S445:S456)</f>
        <v>0</v>
      </c>
      <c r="T457" s="104">
        <f>SUM(T445:T456)</f>
        <v>0</v>
      </c>
      <c r="U457" s="692">
        <f>U456</f>
        <v>0</v>
      </c>
      <c r="V457" s="693"/>
      <c r="X457" s="97" t="s">
        <v>823</v>
      </c>
      <c r="Y457" s="104">
        <f>SUM(Y445:Y456)</f>
        <v>0</v>
      </c>
      <c r="Z457" s="104">
        <f>SUM(Z445:Z456)</f>
        <v>0</v>
      </c>
      <c r="AA457" s="104">
        <f>SUM(AA445:AA456)</f>
        <v>0</v>
      </c>
      <c r="AB457" s="692">
        <f>AB456</f>
        <v>0</v>
      </c>
      <c r="AC457" s="693"/>
    </row>
    <row r="458" spans="3:29" x14ac:dyDescent="0.2">
      <c r="C458" s="95">
        <v>385</v>
      </c>
      <c r="D458" s="101" t="str">
        <f t="shared" ref="D458:D469" si="512">IF(G457&gt;0,G457*($E$36)/12,"$0.00")</f>
        <v>$0.00</v>
      </c>
      <c r="E458" s="101" t="str">
        <f t="shared" ref="E458:E469" si="513">IF(G457&gt;0,IF($E$38=4,"$0.00",IF($E$38=3,"$0.00",IF($E$38=2,"$0.00",+$G$39-D458))),"$0.00")</f>
        <v>$0.00</v>
      </c>
      <c r="F458" s="101" t="str">
        <f t="shared" ref="F458:F469" si="514">IF(G457=0,"$0.00",IF($E$38=4,"$0.00",IF($E$38=3,"$0.00",IF($E$38=2,D458,D458+E458))))</f>
        <v>$0.00</v>
      </c>
      <c r="G458" s="688" t="str">
        <f t="shared" ref="G458:G469" si="515">IF(G457=0,"$0.00",IF($E$38=4,G457+D458,IF($E$38=3,G457+D458,IF($E$38=2,G457,G457-E458))))</f>
        <v>$0.00</v>
      </c>
      <c r="H458" s="689"/>
      <c r="J458" s="95">
        <v>385</v>
      </c>
      <c r="K458" s="96">
        <f t="shared" ref="K458:K469" si="516">N457*($L$36)/12</f>
        <v>0</v>
      </c>
      <c r="L458" s="96">
        <f t="shared" ref="L458:L469" si="517">IF(L454=4,"$0.00",+$N$39-K458)</f>
        <v>0</v>
      </c>
      <c r="M458" s="96">
        <f t="shared" ref="M458:M469" si="518">IF(L454=4,"$0.00",K458+L458)</f>
        <v>0</v>
      </c>
      <c r="N458" s="709">
        <f t="shared" ref="N458:N469" si="519">IF(L454=4,N457+K458,N457-L458)</f>
        <v>0</v>
      </c>
      <c r="O458" s="710"/>
      <c r="Q458" s="95">
        <v>385</v>
      </c>
      <c r="R458" s="101" t="str">
        <f t="shared" ref="R458:R469" si="520">IF(U457&gt;0,U457*($S$36)/12,"$0.00")</f>
        <v>$0.00</v>
      </c>
      <c r="S458" s="101" t="str">
        <f t="shared" ref="S458:S469" si="521">IF(U457&gt;0,IF($S$38=4,"$0.00",IF($S$38=3,"$0.00",IF($S$38=2,"$0.00",+$U$39-R458))),"$0.00")</f>
        <v>$0.00</v>
      </c>
      <c r="T458" s="101" t="str">
        <f t="shared" ref="T458:T469" si="522">IF(U457=0,"$0.00",IF($S$38=4,"$0.00",IF($S$38=3,"$0.00",IF($S$38=2,R458,R458+S458))))</f>
        <v>$0.00</v>
      </c>
      <c r="U458" s="688" t="str">
        <f t="shared" ref="U458:U469" si="523">IF(U457=0,"$0.00",IF($S$38=4,U457+R458,IF($S$38=3,U457+R458,IF($S$38=2,U457,U457-S458))))</f>
        <v>$0.00</v>
      </c>
      <c r="V458" s="689"/>
      <c r="X458" s="95">
        <v>385</v>
      </c>
      <c r="Y458" s="101" t="str">
        <f t="shared" ref="Y458:Y469" si="524">IF(AB457&gt;0,AB457*($Z$36)/12,"$0.00")</f>
        <v>$0.00</v>
      </c>
      <c r="Z458" s="101" t="str">
        <f t="shared" ref="Z458:Z469" si="525">IF(AB457&gt;0,IF($Z$38=4,"$0.00",IF($Z$38=3,"$0.00",IF($Z$38=2,"$0.00",+$AB$39-Y458))),"$0.00")</f>
        <v>$0.00</v>
      </c>
      <c r="AA458" s="101" t="str">
        <f t="shared" ref="AA458:AA469" si="526">IF(AB457=0,"$0.00",IF($Z$38=4,"$0.00",IF($Z$38=3,"$0.00",IF($Z$38=2,Y458,Y458+Z458))))</f>
        <v>$0.00</v>
      </c>
      <c r="AB458" s="688" t="str">
        <f t="shared" ref="AB458:AB469" si="527">IF(AB457=0,"$0.00",IF($Z$38=4,AB457+Y458,IF($Z$38=3,AB457+Y458,IF($Z$38=2,AB457,AB457-Z458))))</f>
        <v>$0.00</v>
      </c>
      <c r="AC458" s="689"/>
    </row>
    <row r="459" spans="3:29" x14ac:dyDescent="0.2">
      <c r="C459" s="95">
        <v>386</v>
      </c>
      <c r="D459" s="101">
        <f t="shared" si="512"/>
        <v>0</v>
      </c>
      <c r="E459" s="101">
        <f t="shared" si="513"/>
        <v>0</v>
      </c>
      <c r="F459" s="101">
        <f t="shared" si="514"/>
        <v>0</v>
      </c>
      <c r="G459" s="688">
        <f t="shared" si="515"/>
        <v>0</v>
      </c>
      <c r="H459" s="689"/>
      <c r="J459" s="95">
        <v>386</v>
      </c>
      <c r="K459" s="96">
        <f t="shared" si="516"/>
        <v>0</v>
      </c>
      <c r="L459" s="96">
        <f t="shared" si="517"/>
        <v>0</v>
      </c>
      <c r="M459" s="96">
        <f t="shared" si="518"/>
        <v>0</v>
      </c>
      <c r="N459" s="688">
        <f t="shared" si="519"/>
        <v>0</v>
      </c>
      <c r="O459" s="689"/>
      <c r="Q459" s="95">
        <v>386</v>
      </c>
      <c r="R459" s="101">
        <f t="shared" si="520"/>
        <v>0</v>
      </c>
      <c r="S459" s="101">
        <f t="shared" si="521"/>
        <v>0</v>
      </c>
      <c r="T459" s="101">
        <f t="shared" si="522"/>
        <v>0</v>
      </c>
      <c r="U459" s="688">
        <f t="shared" si="523"/>
        <v>0</v>
      </c>
      <c r="V459" s="689"/>
      <c r="X459" s="95">
        <v>386</v>
      </c>
      <c r="Y459" s="101">
        <f t="shared" si="524"/>
        <v>0</v>
      </c>
      <c r="Z459" s="101">
        <f t="shared" si="525"/>
        <v>0</v>
      </c>
      <c r="AA459" s="101">
        <f t="shared" si="526"/>
        <v>0</v>
      </c>
      <c r="AB459" s="688">
        <f t="shared" si="527"/>
        <v>0</v>
      </c>
      <c r="AC459" s="689"/>
    </row>
    <row r="460" spans="3:29" x14ac:dyDescent="0.2">
      <c r="C460" s="95">
        <v>387</v>
      </c>
      <c r="D460" s="101" t="str">
        <f t="shared" si="512"/>
        <v>$0.00</v>
      </c>
      <c r="E460" s="101" t="str">
        <f t="shared" si="513"/>
        <v>$0.00</v>
      </c>
      <c r="F460" s="101" t="str">
        <f t="shared" si="514"/>
        <v>$0.00</v>
      </c>
      <c r="G460" s="688" t="str">
        <f t="shared" si="515"/>
        <v>$0.00</v>
      </c>
      <c r="H460" s="689"/>
      <c r="J460" s="95">
        <v>387</v>
      </c>
      <c r="K460" s="96">
        <f t="shared" si="516"/>
        <v>0</v>
      </c>
      <c r="L460" s="96">
        <f t="shared" si="517"/>
        <v>0</v>
      </c>
      <c r="M460" s="96">
        <f t="shared" si="518"/>
        <v>0</v>
      </c>
      <c r="N460" s="688">
        <f t="shared" si="519"/>
        <v>0</v>
      </c>
      <c r="O460" s="689"/>
      <c r="Q460" s="95">
        <v>387</v>
      </c>
      <c r="R460" s="101" t="str">
        <f t="shared" si="520"/>
        <v>$0.00</v>
      </c>
      <c r="S460" s="101" t="str">
        <f t="shared" si="521"/>
        <v>$0.00</v>
      </c>
      <c r="T460" s="101" t="str">
        <f t="shared" si="522"/>
        <v>$0.00</v>
      </c>
      <c r="U460" s="688" t="str">
        <f t="shared" si="523"/>
        <v>$0.00</v>
      </c>
      <c r="V460" s="689"/>
      <c r="X460" s="95">
        <v>387</v>
      </c>
      <c r="Y460" s="101" t="str">
        <f t="shared" si="524"/>
        <v>$0.00</v>
      </c>
      <c r="Z460" s="101" t="str">
        <f t="shared" si="525"/>
        <v>$0.00</v>
      </c>
      <c r="AA460" s="101" t="str">
        <f t="shared" si="526"/>
        <v>$0.00</v>
      </c>
      <c r="AB460" s="688" t="str">
        <f t="shared" si="527"/>
        <v>$0.00</v>
      </c>
      <c r="AC460" s="689"/>
    </row>
    <row r="461" spans="3:29" x14ac:dyDescent="0.2">
      <c r="C461" s="95">
        <v>388</v>
      </c>
      <c r="D461" s="101">
        <f t="shared" si="512"/>
        <v>0</v>
      </c>
      <c r="E461" s="101">
        <f t="shared" si="513"/>
        <v>0</v>
      </c>
      <c r="F461" s="101">
        <f t="shared" si="514"/>
        <v>0</v>
      </c>
      <c r="G461" s="688">
        <f t="shared" si="515"/>
        <v>0</v>
      </c>
      <c r="H461" s="689"/>
      <c r="J461" s="95">
        <v>388</v>
      </c>
      <c r="K461" s="96">
        <f t="shared" si="516"/>
        <v>0</v>
      </c>
      <c r="L461" s="96">
        <f t="shared" si="517"/>
        <v>0</v>
      </c>
      <c r="M461" s="96">
        <f t="shared" si="518"/>
        <v>0</v>
      </c>
      <c r="N461" s="688">
        <f t="shared" si="519"/>
        <v>0</v>
      </c>
      <c r="O461" s="689"/>
      <c r="Q461" s="95">
        <v>388</v>
      </c>
      <c r="R461" s="101">
        <f t="shared" si="520"/>
        <v>0</v>
      </c>
      <c r="S461" s="101">
        <f t="shared" si="521"/>
        <v>0</v>
      </c>
      <c r="T461" s="101">
        <f t="shared" si="522"/>
        <v>0</v>
      </c>
      <c r="U461" s="688">
        <f t="shared" si="523"/>
        <v>0</v>
      </c>
      <c r="V461" s="689"/>
      <c r="X461" s="95">
        <v>388</v>
      </c>
      <c r="Y461" s="101">
        <f t="shared" si="524"/>
        <v>0</v>
      </c>
      <c r="Z461" s="101">
        <f t="shared" si="525"/>
        <v>0</v>
      </c>
      <c r="AA461" s="101">
        <f t="shared" si="526"/>
        <v>0</v>
      </c>
      <c r="AB461" s="688">
        <f t="shared" si="527"/>
        <v>0</v>
      </c>
      <c r="AC461" s="689"/>
    </row>
    <row r="462" spans="3:29" x14ac:dyDescent="0.2">
      <c r="C462" s="95">
        <v>389</v>
      </c>
      <c r="D462" s="101" t="str">
        <f t="shared" si="512"/>
        <v>$0.00</v>
      </c>
      <c r="E462" s="101" t="str">
        <f t="shared" si="513"/>
        <v>$0.00</v>
      </c>
      <c r="F462" s="101" t="str">
        <f t="shared" si="514"/>
        <v>$0.00</v>
      </c>
      <c r="G462" s="688" t="str">
        <f t="shared" si="515"/>
        <v>$0.00</v>
      </c>
      <c r="H462" s="689"/>
      <c r="J462" s="95">
        <v>389</v>
      </c>
      <c r="K462" s="96">
        <f t="shared" si="516"/>
        <v>0</v>
      </c>
      <c r="L462" s="96">
        <f t="shared" si="517"/>
        <v>0</v>
      </c>
      <c r="M462" s="96">
        <f t="shared" si="518"/>
        <v>0</v>
      </c>
      <c r="N462" s="688">
        <f t="shared" si="519"/>
        <v>0</v>
      </c>
      <c r="O462" s="689"/>
      <c r="Q462" s="95">
        <v>389</v>
      </c>
      <c r="R462" s="101" t="str">
        <f t="shared" si="520"/>
        <v>$0.00</v>
      </c>
      <c r="S462" s="101" t="str">
        <f t="shared" si="521"/>
        <v>$0.00</v>
      </c>
      <c r="T462" s="101" t="str">
        <f t="shared" si="522"/>
        <v>$0.00</v>
      </c>
      <c r="U462" s="688" t="str">
        <f t="shared" si="523"/>
        <v>$0.00</v>
      </c>
      <c r="V462" s="689"/>
      <c r="X462" s="95">
        <v>389</v>
      </c>
      <c r="Y462" s="101" t="str">
        <f t="shared" si="524"/>
        <v>$0.00</v>
      </c>
      <c r="Z462" s="101" t="str">
        <f t="shared" si="525"/>
        <v>$0.00</v>
      </c>
      <c r="AA462" s="101" t="str">
        <f t="shared" si="526"/>
        <v>$0.00</v>
      </c>
      <c r="AB462" s="688" t="str">
        <f t="shared" si="527"/>
        <v>$0.00</v>
      </c>
      <c r="AC462" s="689"/>
    </row>
    <row r="463" spans="3:29" x14ac:dyDescent="0.2">
      <c r="C463" s="95">
        <v>390</v>
      </c>
      <c r="D463" s="101">
        <f t="shared" si="512"/>
        <v>0</v>
      </c>
      <c r="E463" s="101">
        <f t="shared" si="513"/>
        <v>0</v>
      </c>
      <c r="F463" s="101">
        <f t="shared" si="514"/>
        <v>0</v>
      </c>
      <c r="G463" s="688">
        <f t="shared" si="515"/>
        <v>0</v>
      </c>
      <c r="H463" s="689"/>
      <c r="J463" s="95">
        <v>390</v>
      </c>
      <c r="K463" s="96">
        <f t="shared" si="516"/>
        <v>0</v>
      </c>
      <c r="L463" s="96">
        <f t="shared" si="517"/>
        <v>0</v>
      </c>
      <c r="M463" s="96">
        <f t="shared" si="518"/>
        <v>0</v>
      </c>
      <c r="N463" s="688">
        <f t="shared" si="519"/>
        <v>0</v>
      </c>
      <c r="O463" s="689"/>
      <c r="Q463" s="95">
        <v>390</v>
      </c>
      <c r="R463" s="101">
        <f t="shared" si="520"/>
        <v>0</v>
      </c>
      <c r="S463" s="101">
        <f t="shared" si="521"/>
        <v>0</v>
      </c>
      <c r="T463" s="101">
        <f t="shared" si="522"/>
        <v>0</v>
      </c>
      <c r="U463" s="688">
        <f t="shared" si="523"/>
        <v>0</v>
      </c>
      <c r="V463" s="689"/>
      <c r="X463" s="95">
        <v>390</v>
      </c>
      <c r="Y463" s="101">
        <f t="shared" si="524"/>
        <v>0</v>
      </c>
      <c r="Z463" s="101">
        <f t="shared" si="525"/>
        <v>0</v>
      </c>
      <c r="AA463" s="101">
        <f t="shared" si="526"/>
        <v>0</v>
      </c>
      <c r="AB463" s="688">
        <f t="shared" si="527"/>
        <v>0</v>
      </c>
      <c r="AC463" s="689"/>
    </row>
    <row r="464" spans="3:29" x14ac:dyDescent="0.2">
      <c r="C464" s="95">
        <v>391</v>
      </c>
      <c r="D464" s="101" t="str">
        <f t="shared" si="512"/>
        <v>$0.00</v>
      </c>
      <c r="E464" s="101" t="str">
        <f t="shared" si="513"/>
        <v>$0.00</v>
      </c>
      <c r="F464" s="101" t="str">
        <f t="shared" si="514"/>
        <v>$0.00</v>
      </c>
      <c r="G464" s="688" t="str">
        <f t="shared" si="515"/>
        <v>$0.00</v>
      </c>
      <c r="H464" s="689"/>
      <c r="J464" s="95">
        <v>391</v>
      </c>
      <c r="K464" s="96">
        <f t="shared" si="516"/>
        <v>0</v>
      </c>
      <c r="L464" s="96">
        <f t="shared" si="517"/>
        <v>0</v>
      </c>
      <c r="M464" s="96">
        <f t="shared" si="518"/>
        <v>0</v>
      </c>
      <c r="N464" s="688">
        <f t="shared" si="519"/>
        <v>0</v>
      </c>
      <c r="O464" s="689"/>
      <c r="Q464" s="95">
        <v>391</v>
      </c>
      <c r="R464" s="101" t="str">
        <f t="shared" si="520"/>
        <v>$0.00</v>
      </c>
      <c r="S464" s="101" t="str">
        <f t="shared" si="521"/>
        <v>$0.00</v>
      </c>
      <c r="T464" s="101" t="str">
        <f t="shared" si="522"/>
        <v>$0.00</v>
      </c>
      <c r="U464" s="688" t="str">
        <f t="shared" si="523"/>
        <v>$0.00</v>
      </c>
      <c r="V464" s="689"/>
      <c r="X464" s="95">
        <v>391</v>
      </c>
      <c r="Y464" s="101" t="str">
        <f t="shared" si="524"/>
        <v>$0.00</v>
      </c>
      <c r="Z464" s="101" t="str">
        <f t="shared" si="525"/>
        <v>$0.00</v>
      </c>
      <c r="AA464" s="101" t="str">
        <f t="shared" si="526"/>
        <v>$0.00</v>
      </c>
      <c r="AB464" s="688" t="str">
        <f t="shared" si="527"/>
        <v>$0.00</v>
      </c>
      <c r="AC464" s="689"/>
    </row>
    <row r="465" spans="3:29" x14ac:dyDescent="0.2">
      <c r="C465" s="95">
        <v>392</v>
      </c>
      <c r="D465" s="101">
        <f t="shared" si="512"/>
        <v>0</v>
      </c>
      <c r="E465" s="101">
        <f t="shared" si="513"/>
        <v>0</v>
      </c>
      <c r="F465" s="101">
        <f t="shared" si="514"/>
        <v>0</v>
      </c>
      <c r="G465" s="688">
        <f t="shared" si="515"/>
        <v>0</v>
      </c>
      <c r="H465" s="689"/>
      <c r="J465" s="95">
        <v>392</v>
      </c>
      <c r="K465" s="96">
        <f t="shared" si="516"/>
        <v>0</v>
      </c>
      <c r="L465" s="96">
        <f t="shared" si="517"/>
        <v>0</v>
      </c>
      <c r="M465" s="96">
        <f t="shared" si="518"/>
        <v>0</v>
      </c>
      <c r="N465" s="688">
        <f t="shared" si="519"/>
        <v>0</v>
      </c>
      <c r="O465" s="689"/>
      <c r="Q465" s="95">
        <v>392</v>
      </c>
      <c r="R465" s="101">
        <f t="shared" si="520"/>
        <v>0</v>
      </c>
      <c r="S465" s="101">
        <f t="shared" si="521"/>
        <v>0</v>
      </c>
      <c r="T465" s="101">
        <f t="shared" si="522"/>
        <v>0</v>
      </c>
      <c r="U465" s="688">
        <f t="shared" si="523"/>
        <v>0</v>
      </c>
      <c r="V465" s="689"/>
      <c r="X465" s="95">
        <v>392</v>
      </c>
      <c r="Y465" s="101">
        <f t="shared" si="524"/>
        <v>0</v>
      </c>
      <c r="Z465" s="101">
        <f t="shared" si="525"/>
        <v>0</v>
      </c>
      <c r="AA465" s="101">
        <f t="shared" si="526"/>
        <v>0</v>
      </c>
      <c r="AB465" s="688">
        <f t="shared" si="527"/>
        <v>0</v>
      </c>
      <c r="AC465" s="689"/>
    </row>
    <row r="466" spans="3:29" x14ac:dyDescent="0.2">
      <c r="C466" s="95">
        <v>393</v>
      </c>
      <c r="D466" s="101" t="str">
        <f t="shared" si="512"/>
        <v>$0.00</v>
      </c>
      <c r="E466" s="101" t="str">
        <f t="shared" si="513"/>
        <v>$0.00</v>
      </c>
      <c r="F466" s="101" t="str">
        <f t="shared" si="514"/>
        <v>$0.00</v>
      </c>
      <c r="G466" s="688" t="str">
        <f t="shared" si="515"/>
        <v>$0.00</v>
      </c>
      <c r="H466" s="689"/>
      <c r="J466" s="95">
        <v>393</v>
      </c>
      <c r="K466" s="96">
        <f t="shared" si="516"/>
        <v>0</v>
      </c>
      <c r="L466" s="96">
        <f t="shared" si="517"/>
        <v>0</v>
      </c>
      <c r="M466" s="96">
        <f t="shared" si="518"/>
        <v>0</v>
      </c>
      <c r="N466" s="688">
        <f t="shared" si="519"/>
        <v>0</v>
      </c>
      <c r="O466" s="689"/>
      <c r="Q466" s="95">
        <v>393</v>
      </c>
      <c r="R466" s="101" t="str">
        <f t="shared" si="520"/>
        <v>$0.00</v>
      </c>
      <c r="S466" s="101" t="str">
        <f t="shared" si="521"/>
        <v>$0.00</v>
      </c>
      <c r="T466" s="101" t="str">
        <f t="shared" si="522"/>
        <v>$0.00</v>
      </c>
      <c r="U466" s="688" t="str">
        <f t="shared" si="523"/>
        <v>$0.00</v>
      </c>
      <c r="V466" s="689"/>
      <c r="X466" s="95">
        <v>393</v>
      </c>
      <c r="Y466" s="101" t="str">
        <f t="shared" si="524"/>
        <v>$0.00</v>
      </c>
      <c r="Z466" s="101" t="str">
        <f t="shared" si="525"/>
        <v>$0.00</v>
      </c>
      <c r="AA466" s="101" t="str">
        <f t="shared" si="526"/>
        <v>$0.00</v>
      </c>
      <c r="AB466" s="688" t="str">
        <f t="shared" si="527"/>
        <v>$0.00</v>
      </c>
      <c r="AC466" s="689"/>
    </row>
    <row r="467" spans="3:29" x14ac:dyDescent="0.2">
      <c r="C467" s="95">
        <v>394</v>
      </c>
      <c r="D467" s="101">
        <f t="shared" si="512"/>
        <v>0</v>
      </c>
      <c r="E467" s="101">
        <f t="shared" si="513"/>
        <v>0</v>
      </c>
      <c r="F467" s="101">
        <f t="shared" si="514"/>
        <v>0</v>
      </c>
      <c r="G467" s="688">
        <f t="shared" si="515"/>
        <v>0</v>
      </c>
      <c r="H467" s="689"/>
      <c r="J467" s="95">
        <v>394</v>
      </c>
      <c r="K467" s="96">
        <f t="shared" si="516"/>
        <v>0</v>
      </c>
      <c r="L467" s="96">
        <f t="shared" si="517"/>
        <v>0</v>
      </c>
      <c r="M467" s="96">
        <f t="shared" si="518"/>
        <v>0</v>
      </c>
      <c r="N467" s="688">
        <f t="shared" si="519"/>
        <v>0</v>
      </c>
      <c r="O467" s="689"/>
      <c r="Q467" s="95">
        <v>394</v>
      </c>
      <c r="R467" s="101">
        <f t="shared" si="520"/>
        <v>0</v>
      </c>
      <c r="S467" s="101">
        <f t="shared" si="521"/>
        <v>0</v>
      </c>
      <c r="T467" s="101">
        <f t="shared" si="522"/>
        <v>0</v>
      </c>
      <c r="U467" s="688">
        <f t="shared" si="523"/>
        <v>0</v>
      </c>
      <c r="V467" s="689"/>
      <c r="X467" s="95">
        <v>394</v>
      </c>
      <c r="Y467" s="101">
        <f t="shared" si="524"/>
        <v>0</v>
      </c>
      <c r="Z467" s="101">
        <f t="shared" si="525"/>
        <v>0</v>
      </c>
      <c r="AA467" s="101">
        <f t="shared" si="526"/>
        <v>0</v>
      </c>
      <c r="AB467" s="688">
        <f t="shared" si="527"/>
        <v>0</v>
      </c>
      <c r="AC467" s="689"/>
    </row>
    <row r="468" spans="3:29" x14ac:dyDescent="0.2">
      <c r="C468" s="95">
        <v>395</v>
      </c>
      <c r="D468" s="101" t="str">
        <f t="shared" si="512"/>
        <v>$0.00</v>
      </c>
      <c r="E468" s="101" t="str">
        <f t="shared" si="513"/>
        <v>$0.00</v>
      </c>
      <c r="F468" s="101" t="str">
        <f t="shared" si="514"/>
        <v>$0.00</v>
      </c>
      <c r="G468" s="688" t="str">
        <f t="shared" si="515"/>
        <v>$0.00</v>
      </c>
      <c r="H468" s="689"/>
      <c r="J468" s="95">
        <v>395</v>
      </c>
      <c r="K468" s="96">
        <f t="shared" si="516"/>
        <v>0</v>
      </c>
      <c r="L468" s="96">
        <f t="shared" si="517"/>
        <v>0</v>
      </c>
      <c r="M468" s="96">
        <f t="shared" si="518"/>
        <v>0</v>
      </c>
      <c r="N468" s="688">
        <f t="shared" si="519"/>
        <v>0</v>
      </c>
      <c r="O468" s="689"/>
      <c r="Q468" s="95">
        <v>395</v>
      </c>
      <c r="R468" s="101" t="str">
        <f t="shared" si="520"/>
        <v>$0.00</v>
      </c>
      <c r="S468" s="101" t="str">
        <f t="shared" si="521"/>
        <v>$0.00</v>
      </c>
      <c r="T468" s="101" t="str">
        <f t="shared" si="522"/>
        <v>$0.00</v>
      </c>
      <c r="U468" s="688" t="str">
        <f t="shared" si="523"/>
        <v>$0.00</v>
      </c>
      <c r="V468" s="689"/>
      <c r="X468" s="95">
        <v>395</v>
      </c>
      <c r="Y468" s="101" t="str">
        <f t="shared" si="524"/>
        <v>$0.00</v>
      </c>
      <c r="Z468" s="101" t="str">
        <f t="shared" si="525"/>
        <v>$0.00</v>
      </c>
      <c r="AA468" s="101" t="str">
        <f t="shared" si="526"/>
        <v>$0.00</v>
      </c>
      <c r="AB468" s="688" t="str">
        <f t="shared" si="527"/>
        <v>$0.00</v>
      </c>
      <c r="AC468" s="689"/>
    </row>
    <row r="469" spans="3:29" x14ac:dyDescent="0.2">
      <c r="C469" s="95">
        <v>396</v>
      </c>
      <c r="D469" s="101">
        <f t="shared" si="512"/>
        <v>0</v>
      </c>
      <c r="E469" s="101">
        <f t="shared" si="513"/>
        <v>0</v>
      </c>
      <c r="F469" s="101">
        <f t="shared" si="514"/>
        <v>0</v>
      </c>
      <c r="G469" s="690">
        <f t="shared" si="515"/>
        <v>0</v>
      </c>
      <c r="H469" s="691"/>
      <c r="J469" s="95">
        <v>396</v>
      </c>
      <c r="K469" s="96">
        <f t="shared" si="516"/>
        <v>0</v>
      </c>
      <c r="L469" s="96">
        <f t="shared" si="517"/>
        <v>0</v>
      </c>
      <c r="M469" s="96">
        <f t="shared" si="518"/>
        <v>0</v>
      </c>
      <c r="N469" s="690">
        <f t="shared" si="519"/>
        <v>0</v>
      </c>
      <c r="O469" s="691"/>
      <c r="Q469" s="95">
        <v>396</v>
      </c>
      <c r="R469" s="101">
        <f t="shared" si="520"/>
        <v>0</v>
      </c>
      <c r="S469" s="101">
        <f t="shared" si="521"/>
        <v>0</v>
      </c>
      <c r="T469" s="101">
        <f t="shared" si="522"/>
        <v>0</v>
      </c>
      <c r="U469" s="690">
        <f t="shared" si="523"/>
        <v>0</v>
      </c>
      <c r="V469" s="691"/>
      <c r="X469" s="95">
        <v>396</v>
      </c>
      <c r="Y469" s="101">
        <f t="shared" si="524"/>
        <v>0</v>
      </c>
      <c r="Z469" s="101">
        <f t="shared" si="525"/>
        <v>0</v>
      </c>
      <c r="AA469" s="101">
        <f t="shared" si="526"/>
        <v>0</v>
      </c>
      <c r="AB469" s="690">
        <f t="shared" si="527"/>
        <v>0</v>
      </c>
      <c r="AC469" s="691"/>
    </row>
    <row r="470" spans="3:29" x14ac:dyDescent="0.2">
      <c r="C470" s="97" t="s">
        <v>824</v>
      </c>
      <c r="D470" s="104">
        <f>SUM(D458:D469)</f>
        <v>0</v>
      </c>
      <c r="E470" s="104">
        <f>SUM(E458:E469)</f>
        <v>0</v>
      </c>
      <c r="F470" s="104">
        <f>SUM(F458:F469)</f>
        <v>0</v>
      </c>
      <c r="G470" s="692">
        <f>G469</f>
        <v>0</v>
      </c>
      <c r="H470" s="693"/>
      <c r="J470" s="97" t="s">
        <v>824</v>
      </c>
      <c r="K470" s="86">
        <f>SUM(K458:K469)</f>
        <v>0</v>
      </c>
      <c r="L470" s="86">
        <f>SUM(L458:L469)</f>
        <v>0</v>
      </c>
      <c r="M470" s="86">
        <f>SUM(M458:M469)</f>
        <v>0</v>
      </c>
      <c r="N470" s="692">
        <f>N469</f>
        <v>0</v>
      </c>
      <c r="O470" s="711"/>
      <c r="Q470" s="97" t="s">
        <v>824</v>
      </c>
      <c r="R470" s="104">
        <f>SUM(R458:R469)</f>
        <v>0</v>
      </c>
      <c r="S470" s="104">
        <f>SUM(S458:S469)</f>
        <v>0</v>
      </c>
      <c r="T470" s="104">
        <f>SUM(T458:T469)</f>
        <v>0</v>
      </c>
      <c r="U470" s="692">
        <f>U469</f>
        <v>0</v>
      </c>
      <c r="V470" s="693"/>
      <c r="X470" s="97" t="s">
        <v>824</v>
      </c>
      <c r="Y470" s="104">
        <f>SUM(Y458:Y469)</f>
        <v>0</v>
      </c>
      <c r="Z470" s="104">
        <f>SUM(Z458:Z469)</f>
        <v>0</v>
      </c>
      <c r="AA470" s="104">
        <f>SUM(AA458:AA469)</f>
        <v>0</v>
      </c>
      <c r="AB470" s="692">
        <f>AB469</f>
        <v>0</v>
      </c>
      <c r="AC470" s="693"/>
    </row>
    <row r="471" spans="3:29" x14ac:dyDescent="0.2">
      <c r="C471" s="95">
        <v>397</v>
      </c>
      <c r="D471" s="101" t="str">
        <f t="shared" ref="D471:D482" si="528">IF(G470&gt;0,G470*($E$36)/12,"$0.00")</f>
        <v>$0.00</v>
      </c>
      <c r="E471" s="101" t="str">
        <f t="shared" ref="E471:E482" si="529">IF(G470&gt;0,IF($E$38=4,"$0.00",IF($E$38=3,"$0.00",IF($E$38=2,"$0.00",+$G$39-D471))),"$0.00")</f>
        <v>$0.00</v>
      </c>
      <c r="F471" s="101" t="str">
        <f t="shared" ref="F471:F482" si="530">IF(G470=0,"$0.00",IF($E$38=4,"$0.00",IF($E$38=3,"$0.00",IF($E$38=2,D471,D471+E471))))</f>
        <v>$0.00</v>
      </c>
      <c r="G471" s="688" t="str">
        <f t="shared" ref="G471:G482" si="531">IF(G470=0,"$0.00",IF($E$38=4,G470+D471,IF($E$38=3,G470+D471,IF($E$38=2,G470,G470-E471))))</f>
        <v>$0.00</v>
      </c>
      <c r="H471" s="689"/>
      <c r="J471" s="95">
        <v>397</v>
      </c>
      <c r="K471" s="96">
        <f t="shared" ref="K471:K482" si="532">N470*($L$36)/12</f>
        <v>0</v>
      </c>
      <c r="L471" s="96">
        <f t="shared" ref="L471:L482" si="533">IF(L467=4,"$0.00",+$N$39-K471)</f>
        <v>0</v>
      </c>
      <c r="M471" s="96">
        <f t="shared" ref="M471:M482" si="534">IF(L467=4,"$0.00",K471+L471)</f>
        <v>0</v>
      </c>
      <c r="N471" s="709">
        <f t="shared" ref="N471:N482" si="535">IF(L467=4,N470+K471,N470-L471)</f>
        <v>0</v>
      </c>
      <c r="O471" s="710"/>
      <c r="Q471" s="95">
        <v>397</v>
      </c>
      <c r="R471" s="101" t="str">
        <f t="shared" ref="R471:R482" si="536">IF(U470&gt;0,U470*($S$36)/12,"$0.00")</f>
        <v>$0.00</v>
      </c>
      <c r="S471" s="101" t="str">
        <f t="shared" ref="S471:S482" si="537">IF(U470&gt;0,IF($S$38=4,"$0.00",IF($S$38=3,"$0.00",IF($S$38=2,"$0.00",+$U$39-R471))),"$0.00")</f>
        <v>$0.00</v>
      </c>
      <c r="T471" s="101" t="str">
        <f t="shared" ref="T471:T482" si="538">IF(U470=0,"$0.00",IF($S$38=4,"$0.00",IF($S$38=3,"$0.00",IF($S$38=2,R471,R471+S471))))</f>
        <v>$0.00</v>
      </c>
      <c r="U471" s="688" t="str">
        <f t="shared" ref="U471:U482" si="539">IF(U470=0,"$0.00",IF($S$38=4,U470+R471,IF($S$38=3,U470+R471,IF($S$38=2,U470,U470-S471))))</f>
        <v>$0.00</v>
      </c>
      <c r="V471" s="689"/>
      <c r="X471" s="95">
        <v>397</v>
      </c>
      <c r="Y471" s="101" t="str">
        <f t="shared" ref="Y471:Y482" si="540">IF(AB470&gt;0,AB470*($Z$36)/12,"$0.00")</f>
        <v>$0.00</v>
      </c>
      <c r="Z471" s="101" t="str">
        <f t="shared" ref="Z471:Z482" si="541">IF(AB470&gt;0,IF($Z$38=4,"$0.00",IF($Z$38=3,"$0.00",IF($Z$38=2,"$0.00",+$AB$39-Y471))),"$0.00")</f>
        <v>$0.00</v>
      </c>
      <c r="AA471" s="101" t="str">
        <f t="shared" ref="AA471:AA482" si="542">IF(AB470=0,"$0.00",IF($Z$38=4,"$0.00",IF($Z$38=3,"$0.00",IF($Z$38=2,Y471,Y471+Z471))))</f>
        <v>$0.00</v>
      </c>
      <c r="AB471" s="688" t="str">
        <f t="shared" ref="AB471:AB482" si="543">IF(AB470=0,"$0.00",IF($Z$38=4,AB470+Y471,IF($Z$38=3,AB470+Y471,IF($Z$38=2,AB470,AB470-Z471))))</f>
        <v>$0.00</v>
      </c>
      <c r="AC471" s="689"/>
    </row>
    <row r="472" spans="3:29" x14ac:dyDescent="0.2">
      <c r="C472" s="95">
        <v>398</v>
      </c>
      <c r="D472" s="101">
        <f t="shared" si="528"/>
        <v>0</v>
      </c>
      <c r="E472" s="101">
        <f t="shared" si="529"/>
        <v>0</v>
      </c>
      <c r="F472" s="101">
        <f t="shared" si="530"/>
        <v>0</v>
      </c>
      <c r="G472" s="688">
        <f t="shared" si="531"/>
        <v>0</v>
      </c>
      <c r="H472" s="689"/>
      <c r="J472" s="95">
        <v>398</v>
      </c>
      <c r="K472" s="96">
        <f t="shared" si="532"/>
        <v>0</v>
      </c>
      <c r="L472" s="96">
        <f t="shared" si="533"/>
        <v>0</v>
      </c>
      <c r="M472" s="96">
        <f t="shared" si="534"/>
        <v>0</v>
      </c>
      <c r="N472" s="688">
        <f t="shared" si="535"/>
        <v>0</v>
      </c>
      <c r="O472" s="689"/>
      <c r="Q472" s="95">
        <v>398</v>
      </c>
      <c r="R472" s="101">
        <f t="shared" si="536"/>
        <v>0</v>
      </c>
      <c r="S472" s="101">
        <f t="shared" si="537"/>
        <v>0</v>
      </c>
      <c r="T472" s="101">
        <f t="shared" si="538"/>
        <v>0</v>
      </c>
      <c r="U472" s="688">
        <f t="shared" si="539"/>
        <v>0</v>
      </c>
      <c r="V472" s="689"/>
      <c r="X472" s="95">
        <v>398</v>
      </c>
      <c r="Y472" s="101">
        <f t="shared" si="540"/>
        <v>0</v>
      </c>
      <c r="Z472" s="101">
        <f t="shared" si="541"/>
        <v>0</v>
      </c>
      <c r="AA472" s="101">
        <f t="shared" si="542"/>
        <v>0</v>
      </c>
      <c r="AB472" s="688">
        <f t="shared" si="543"/>
        <v>0</v>
      </c>
      <c r="AC472" s="689"/>
    </row>
    <row r="473" spans="3:29" x14ac:dyDescent="0.2">
      <c r="C473" s="95">
        <v>399</v>
      </c>
      <c r="D473" s="101" t="str">
        <f t="shared" si="528"/>
        <v>$0.00</v>
      </c>
      <c r="E473" s="101" t="str">
        <f t="shared" si="529"/>
        <v>$0.00</v>
      </c>
      <c r="F473" s="101" t="str">
        <f t="shared" si="530"/>
        <v>$0.00</v>
      </c>
      <c r="G473" s="688" t="str">
        <f t="shared" si="531"/>
        <v>$0.00</v>
      </c>
      <c r="H473" s="689"/>
      <c r="J473" s="95">
        <v>399</v>
      </c>
      <c r="K473" s="96">
        <f t="shared" si="532"/>
        <v>0</v>
      </c>
      <c r="L473" s="96">
        <f t="shared" si="533"/>
        <v>0</v>
      </c>
      <c r="M473" s="96">
        <f t="shared" si="534"/>
        <v>0</v>
      </c>
      <c r="N473" s="688">
        <f t="shared" si="535"/>
        <v>0</v>
      </c>
      <c r="O473" s="689"/>
      <c r="Q473" s="95">
        <v>399</v>
      </c>
      <c r="R473" s="101" t="str">
        <f t="shared" si="536"/>
        <v>$0.00</v>
      </c>
      <c r="S473" s="101" t="str">
        <f t="shared" si="537"/>
        <v>$0.00</v>
      </c>
      <c r="T473" s="101" t="str">
        <f t="shared" si="538"/>
        <v>$0.00</v>
      </c>
      <c r="U473" s="688" t="str">
        <f t="shared" si="539"/>
        <v>$0.00</v>
      </c>
      <c r="V473" s="689"/>
      <c r="X473" s="95">
        <v>399</v>
      </c>
      <c r="Y473" s="101" t="str">
        <f t="shared" si="540"/>
        <v>$0.00</v>
      </c>
      <c r="Z473" s="101" t="str">
        <f t="shared" si="541"/>
        <v>$0.00</v>
      </c>
      <c r="AA473" s="101" t="str">
        <f t="shared" si="542"/>
        <v>$0.00</v>
      </c>
      <c r="AB473" s="688" t="str">
        <f t="shared" si="543"/>
        <v>$0.00</v>
      </c>
      <c r="AC473" s="689"/>
    </row>
    <row r="474" spans="3:29" x14ac:dyDescent="0.2">
      <c r="C474" s="95">
        <v>400</v>
      </c>
      <c r="D474" s="101">
        <f t="shared" si="528"/>
        <v>0</v>
      </c>
      <c r="E474" s="101">
        <f t="shared" si="529"/>
        <v>0</v>
      </c>
      <c r="F474" s="101">
        <f t="shared" si="530"/>
        <v>0</v>
      </c>
      <c r="G474" s="688">
        <f t="shared" si="531"/>
        <v>0</v>
      </c>
      <c r="H474" s="689"/>
      <c r="J474" s="95">
        <v>400</v>
      </c>
      <c r="K474" s="96">
        <f t="shared" si="532"/>
        <v>0</v>
      </c>
      <c r="L474" s="96">
        <f t="shared" si="533"/>
        <v>0</v>
      </c>
      <c r="M474" s="96">
        <f t="shared" si="534"/>
        <v>0</v>
      </c>
      <c r="N474" s="688">
        <f t="shared" si="535"/>
        <v>0</v>
      </c>
      <c r="O474" s="689"/>
      <c r="Q474" s="95">
        <v>400</v>
      </c>
      <c r="R474" s="101">
        <f t="shared" si="536"/>
        <v>0</v>
      </c>
      <c r="S474" s="101">
        <f t="shared" si="537"/>
        <v>0</v>
      </c>
      <c r="T474" s="101">
        <f t="shared" si="538"/>
        <v>0</v>
      </c>
      <c r="U474" s="688">
        <f t="shared" si="539"/>
        <v>0</v>
      </c>
      <c r="V474" s="689"/>
      <c r="X474" s="95">
        <v>400</v>
      </c>
      <c r="Y474" s="101">
        <f t="shared" si="540"/>
        <v>0</v>
      </c>
      <c r="Z474" s="101">
        <f t="shared" si="541"/>
        <v>0</v>
      </c>
      <c r="AA474" s="101">
        <f t="shared" si="542"/>
        <v>0</v>
      </c>
      <c r="AB474" s="688">
        <f t="shared" si="543"/>
        <v>0</v>
      </c>
      <c r="AC474" s="689"/>
    </row>
    <row r="475" spans="3:29" x14ac:dyDescent="0.2">
      <c r="C475" s="95">
        <v>401</v>
      </c>
      <c r="D475" s="101" t="str">
        <f t="shared" si="528"/>
        <v>$0.00</v>
      </c>
      <c r="E475" s="101" t="str">
        <f t="shared" si="529"/>
        <v>$0.00</v>
      </c>
      <c r="F475" s="101" t="str">
        <f t="shared" si="530"/>
        <v>$0.00</v>
      </c>
      <c r="G475" s="688" t="str">
        <f t="shared" si="531"/>
        <v>$0.00</v>
      </c>
      <c r="H475" s="689"/>
      <c r="J475" s="95">
        <v>401</v>
      </c>
      <c r="K475" s="96">
        <f t="shared" si="532"/>
        <v>0</v>
      </c>
      <c r="L475" s="96">
        <f t="shared" si="533"/>
        <v>0</v>
      </c>
      <c r="M475" s="96">
        <f t="shared" si="534"/>
        <v>0</v>
      </c>
      <c r="N475" s="688">
        <f t="shared" si="535"/>
        <v>0</v>
      </c>
      <c r="O475" s="689"/>
      <c r="Q475" s="95">
        <v>401</v>
      </c>
      <c r="R475" s="101" t="str">
        <f t="shared" si="536"/>
        <v>$0.00</v>
      </c>
      <c r="S475" s="101" t="str">
        <f t="shared" si="537"/>
        <v>$0.00</v>
      </c>
      <c r="T475" s="101" t="str">
        <f t="shared" si="538"/>
        <v>$0.00</v>
      </c>
      <c r="U475" s="688" t="str">
        <f t="shared" si="539"/>
        <v>$0.00</v>
      </c>
      <c r="V475" s="689"/>
      <c r="X475" s="95">
        <v>401</v>
      </c>
      <c r="Y475" s="101" t="str">
        <f t="shared" si="540"/>
        <v>$0.00</v>
      </c>
      <c r="Z475" s="101" t="str">
        <f t="shared" si="541"/>
        <v>$0.00</v>
      </c>
      <c r="AA475" s="101" t="str">
        <f t="shared" si="542"/>
        <v>$0.00</v>
      </c>
      <c r="AB475" s="688" t="str">
        <f t="shared" si="543"/>
        <v>$0.00</v>
      </c>
      <c r="AC475" s="689"/>
    </row>
    <row r="476" spans="3:29" x14ac:dyDescent="0.2">
      <c r="C476" s="95">
        <v>402</v>
      </c>
      <c r="D476" s="101">
        <f t="shared" si="528"/>
        <v>0</v>
      </c>
      <c r="E476" s="101">
        <f t="shared" si="529"/>
        <v>0</v>
      </c>
      <c r="F476" s="101">
        <f t="shared" si="530"/>
        <v>0</v>
      </c>
      <c r="G476" s="688">
        <f t="shared" si="531"/>
        <v>0</v>
      </c>
      <c r="H476" s="689"/>
      <c r="J476" s="95">
        <v>402</v>
      </c>
      <c r="K476" s="96">
        <f t="shared" si="532"/>
        <v>0</v>
      </c>
      <c r="L476" s="96">
        <f t="shared" si="533"/>
        <v>0</v>
      </c>
      <c r="M476" s="96">
        <f t="shared" si="534"/>
        <v>0</v>
      </c>
      <c r="N476" s="688">
        <f t="shared" si="535"/>
        <v>0</v>
      </c>
      <c r="O476" s="689"/>
      <c r="Q476" s="95">
        <v>402</v>
      </c>
      <c r="R476" s="101">
        <f t="shared" si="536"/>
        <v>0</v>
      </c>
      <c r="S476" s="101">
        <f t="shared" si="537"/>
        <v>0</v>
      </c>
      <c r="T476" s="101">
        <f t="shared" si="538"/>
        <v>0</v>
      </c>
      <c r="U476" s="688">
        <f t="shared" si="539"/>
        <v>0</v>
      </c>
      <c r="V476" s="689"/>
      <c r="X476" s="95">
        <v>402</v>
      </c>
      <c r="Y476" s="101">
        <f t="shared" si="540"/>
        <v>0</v>
      </c>
      <c r="Z476" s="101">
        <f t="shared" si="541"/>
        <v>0</v>
      </c>
      <c r="AA476" s="101">
        <f t="shared" si="542"/>
        <v>0</v>
      </c>
      <c r="AB476" s="688">
        <f t="shared" si="543"/>
        <v>0</v>
      </c>
      <c r="AC476" s="689"/>
    </row>
    <row r="477" spans="3:29" x14ac:dyDescent="0.2">
      <c r="C477" s="95">
        <v>403</v>
      </c>
      <c r="D477" s="101" t="str">
        <f t="shared" si="528"/>
        <v>$0.00</v>
      </c>
      <c r="E477" s="101" t="str">
        <f t="shared" si="529"/>
        <v>$0.00</v>
      </c>
      <c r="F477" s="101" t="str">
        <f t="shared" si="530"/>
        <v>$0.00</v>
      </c>
      <c r="G477" s="688" t="str">
        <f t="shared" si="531"/>
        <v>$0.00</v>
      </c>
      <c r="H477" s="689"/>
      <c r="J477" s="95">
        <v>403</v>
      </c>
      <c r="K477" s="96">
        <f t="shared" si="532"/>
        <v>0</v>
      </c>
      <c r="L477" s="96">
        <f t="shared" si="533"/>
        <v>0</v>
      </c>
      <c r="M477" s="96">
        <f t="shared" si="534"/>
        <v>0</v>
      </c>
      <c r="N477" s="688">
        <f t="shared" si="535"/>
        <v>0</v>
      </c>
      <c r="O477" s="689"/>
      <c r="Q477" s="95">
        <v>403</v>
      </c>
      <c r="R477" s="101" t="str">
        <f t="shared" si="536"/>
        <v>$0.00</v>
      </c>
      <c r="S477" s="101" t="str">
        <f t="shared" si="537"/>
        <v>$0.00</v>
      </c>
      <c r="T477" s="101" t="str">
        <f t="shared" si="538"/>
        <v>$0.00</v>
      </c>
      <c r="U477" s="688" t="str">
        <f t="shared" si="539"/>
        <v>$0.00</v>
      </c>
      <c r="V477" s="689"/>
      <c r="X477" s="95">
        <v>403</v>
      </c>
      <c r="Y477" s="101" t="str">
        <f t="shared" si="540"/>
        <v>$0.00</v>
      </c>
      <c r="Z477" s="101" t="str">
        <f t="shared" si="541"/>
        <v>$0.00</v>
      </c>
      <c r="AA477" s="101" t="str">
        <f t="shared" si="542"/>
        <v>$0.00</v>
      </c>
      <c r="AB477" s="688" t="str">
        <f t="shared" si="543"/>
        <v>$0.00</v>
      </c>
      <c r="AC477" s="689"/>
    </row>
    <row r="478" spans="3:29" x14ac:dyDescent="0.2">
      <c r="C478" s="95">
        <v>404</v>
      </c>
      <c r="D478" s="101">
        <f t="shared" si="528"/>
        <v>0</v>
      </c>
      <c r="E478" s="101">
        <f t="shared" si="529"/>
        <v>0</v>
      </c>
      <c r="F478" s="101">
        <f t="shared" si="530"/>
        <v>0</v>
      </c>
      <c r="G478" s="688">
        <f t="shared" si="531"/>
        <v>0</v>
      </c>
      <c r="H478" s="689"/>
      <c r="J478" s="95">
        <v>404</v>
      </c>
      <c r="K478" s="96">
        <f t="shared" si="532"/>
        <v>0</v>
      </c>
      <c r="L478" s="96">
        <f t="shared" si="533"/>
        <v>0</v>
      </c>
      <c r="M478" s="96">
        <f t="shared" si="534"/>
        <v>0</v>
      </c>
      <c r="N478" s="688">
        <f t="shared" si="535"/>
        <v>0</v>
      </c>
      <c r="O478" s="689"/>
      <c r="Q478" s="95">
        <v>404</v>
      </c>
      <c r="R478" s="101">
        <f t="shared" si="536"/>
        <v>0</v>
      </c>
      <c r="S478" s="101">
        <f t="shared" si="537"/>
        <v>0</v>
      </c>
      <c r="T478" s="101">
        <f t="shared" si="538"/>
        <v>0</v>
      </c>
      <c r="U478" s="688">
        <f t="shared" si="539"/>
        <v>0</v>
      </c>
      <c r="V478" s="689"/>
      <c r="X478" s="95">
        <v>404</v>
      </c>
      <c r="Y478" s="101">
        <f t="shared" si="540"/>
        <v>0</v>
      </c>
      <c r="Z478" s="101">
        <f t="shared" si="541"/>
        <v>0</v>
      </c>
      <c r="AA478" s="101">
        <f t="shared" si="542"/>
        <v>0</v>
      </c>
      <c r="AB478" s="688">
        <f t="shared" si="543"/>
        <v>0</v>
      </c>
      <c r="AC478" s="689"/>
    </row>
    <row r="479" spans="3:29" x14ac:dyDescent="0.2">
      <c r="C479" s="95">
        <v>405</v>
      </c>
      <c r="D479" s="101" t="str">
        <f t="shared" si="528"/>
        <v>$0.00</v>
      </c>
      <c r="E479" s="101" t="str">
        <f t="shared" si="529"/>
        <v>$0.00</v>
      </c>
      <c r="F479" s="101" t="str">
        <f t="shared" si="530"/>
        <v>$0.00</v>
      </c>
      <c r="G479" s="688" t="str">
        <f t="shared" si="531"/>
        <v>$0.00</v>
      </c>
      <c r="H479" s="689"/>
      <c r="J479" s="95">
        <v>405</v>
      </c>
      <c r="K479" s="96">
        <f t="shared" si="532"/>
        <v>0</v>
      </c>
      <c r="L479" s="96">
        <f t="shared" si="533"/>
        <v>0</v>
      </c>
      <c r="M479" s="96">
        <f t="shared" si="534"/>
        <v>0</v>
      </c>
      <c r="N479" s="688">
        <f t="shared" si="535"/>
        <v>0</v>
      </c>
      <c r="O479" s="689"/>
      <c r="Q479" s="95">
        <v>405</v>
      </c>
      <c r="R479" s="101" t="str">
        <f t="shared" si="536"/>
        <v>$0.00</v>
      </c>
      <c r="S479" s="101" t="str">
        <f t="shared" si="537"/>
        <v>$0.00</v>
      </c>
      <c r="T479" s="101" t="str">
        <f t="shared" si="538"/>
        <v>$0.00</v>
      </c>
      <c r="U479" s="688" t="str">
        <f t="shared" si="539"/>
        <v>$0.00</v>
      </c>
      <c r="V479" s="689"/>
      <c r="X479" s="95">
        <v>405</v>
      </c>
      <c r="Y479" s="101" t="str">
        <f t="shared" si="540"/>
        <v>$0.00</v>
      </c>
      <c r="Z479" s="101" t="str">
        <f t="shared" si="541"/>
        <v>$0.00</v>
      </c>
      <c r="AA479" s="101" t="str">
        <f t="shared" si="542"/>
        <v>$0.00</v>
      </c>
      <c r="AB479" s="688" t="str">
        <f t="shared" si="543"/>
        <v>$0.00</v>
      </c>
      <c r="AC479" s="689"/>
    </row>
    <row r="480" spans="3:29" x14ac:dyDescent="0.2">
      <c r="C480" s="95">
        <v>406</v>
      </c>
      <c r="D480" s="101">
        <f t="shared" si="528"/>
        <v>0</v>
      </c>
      <c r="E480" s="101">
        <f t="shared" si="529"/>
        <v>0</v>
      </c>
      <c r="F480" s="101">
        <f t="shared" si="530"/>
        <v>0</v>
      </c>
      <c r="G480" s="688">
        <f t="shared" si="531"/>
        <v>0</v>
      </c>
      <c r="H480" s="689"/>
      <c r="J480" s="95">
        <v>406</v>
      </c>
      <c r="K480" s="96">
        <f t="shared" si="532"/>
        <v>0</v>
      </c>
      <c r="L480" s="96">
        <f t="shared" si="533"/>
        <v>0</v>
      </c>
      <c r="M480" s="96">
        <f t="shared" si="534"/>
        <v>0</v>
      </c>
      <c r="N480" s="688">
        <f t="shared" si="535"/>
        <v>0</v>
      </c>
      <c r="O480" s="689"/>
      <c r="Q480" s="95">
        <v>406</v>
      </c>
      <c r="R480" s="101">
        <f t="shared" si="536"/>
        <v>0</v>
      </c>
      <c r="S480" s="101">
        <f t="shared" si="537"/>
        <v>0</v>
      </c>
      <c r="T480" s="101">
        <f t="shared" si="538"/>
        <v>0</v>
      </c>
      <c r="U480" s="688">
        <f t="shared" si="539"/>
        <v>0</v>
      </c>
      <c r="V480" s="689"/>
      <c r="X480" s="95">
        <v>406</v>
      </c>
      <c r="Y480" s="101">
        <f t="shared" si="540"/>
        <v>0</v>
      </c>
      <c r="Z480" s="101">
        <f t="shared" si="541"/>
        <v>0</v>
      </c>
      <c r="AA480" s="101">
        <f t="shared" si="542"/>
        <v>0</v>
      </c>
      <c r="AB480" s="688">
        <f t="shared" si="543"/>
        <v>0</v>
      </c>
      <c r="AC480" s="689"/>
    </row>
    <row r="481" spans="3:29" x14ac:dyDescent="0.2">
      <c r="C481" s="95">
        <v>407</v>
      </c>
      <c r="D481" s="101" t="str">
        <f t="shared" si="528"/>
        <v>$0.00</v>
      </c>
      <c r="E481" s="101" t="str">
        <f t="shared" si="529"/>
        <v>$0.00</v>
      </c>
      <c r="F481" s="101" t="str">
        <f t="shared" si="530"/>
        <v>$0.00</v>
      </c>
      <c r="G481" s="688" t="str">
        <f t="shared" si="531"/>
        <v>$0.00</v>
      </c>
      <c r="H481" s="689"/>
      <c r="J481" s="95">
        <v>407</v>
      </c>
      <c r="K481" s="96">
        <f t="shared" si="532"/>
        <v>0</v>
      </c>
      <c r="L481" s="96">
        <f t="shared" si="533"/>
        <v>0</v>
      </c>
      <c r="M481" s="96">
        <f t="shared" si="534"/>
        <v>0</v>
      </c>
      <c r="N481" s="688">
        <f t="shared" si="535"/>
        <v>0</v>
      </c>
      <c r="O481" s="689"/>
      <c r="Q481" s="95">
        <v>407</v>
      </c>
      <c r="R481" s="101" t="str">
        <f t="shared" si="536"/>
        <v>$0.00</v>
      </c>
      <c r="S481" s="101" t="str">
        <f t="shared" si="537"/>
        <v>$0.00</v>
      </c>
      <c r="T481" s="101" t="str">
        <f t="shared" si="538"/>
        <v>$0.00</v>
      </c>
      <c r="U481" s="688" t="str">
        <f t="shared" si="539"/>
        <v>$0.00</v>
      </c>
      <c r="V481" s="689"/>
      <c r="X481" s="95">
        <v>407</v>
      </c>
      <c r="Y481" s="101" t="str">
        <f t="shared" si="540"/>
        <v>$0.00</v>
      </c>
      <c r="Z481" s="101" t="str">
        <f t="shared" si="541"/>
        <v>$0.00</v>
      </c>
      <c r="AA481" s="101" t="str">
        <f t="shared" si="542"/>
        <v>$0.00</v>
      </c>
      <c r="AB481" s="688" t="str">
        <f t="shared" si="543"/>
        <v>$0.00</v>
      </c>
      <c r="AC481" s="689"/>
    </row>
    <row r="482" spans="3:29" x14ac:dyDescent="0.2">
      <c r="C482" s="95">
        <v>408</v>
      </c>
      <c r="D482" s="101">
        <f t="shared" si="528"/>
        <v>0</v>
      </c>
      <c r="E482" s="101">
        <f t="shared" si="529"/>
        <v>0</v>
      </c>
      <c r="F482" s="101">
        <f t="shared" si="530"/>
        <v>0</v>
      </c>
      <c r="G482" s="690">
        <f t="shared" si="531"/>
        <v>0</v>
      </c>
      <c r="H482" s="691"/>
      <c r="J482" s="95">
        <v>408</v>
      </c>
      <c r="K482" s="96">
        <f t="shared" si="532"/>
        <v>0</v>
      </c>
      <c r="L482" s="96">
        <f t="shared" si="533"/>
        <v>0</v>
      </c>
      <c r="M482" s="96">
        <f t="shared" si="534"/>
        <v>0</v>
      </c>
      <c r="N482" s="690">
        <f t="shared" si="535"/>
        <v>0</v>
      </c>
      <c r="O482" s="691"/>
      <c r="Q482" s="95">
        <v>408</v>
      </c>
      <c r="R482" s="101">
        <f t="shared" si="536"/>
        <v>0</v>
      </c>
      <c r="S482" s="101">
        <f t="shared" si="537"/>
        <v>0</v>
      </c>
      <c r="T482" s="101">
        <f t="shared" si="538"/>
        <v>0</v>
      </c>
      <c r="U482" s="690">
        <f t="shared" si="539"/>
        <v>0</v>
      </c>
      <c r="V482" s="691"/>
      <c r="X482" s="95">
        <v>408</v>
      </c>
      <c r="Y482" s="101">
        <f t="shared" si="540"/>
        <v>0</v>
      </c>
      <c r="Z482" s="101">
        <f t="shared" si="541"/>
        <v>0</v>
      </c>
      <c r="AA482" s="101">
        <f t="shared" si="542"/>
        <v>0</v>
      </c>
      <c r="AB482" s="690">
        <f t="shared" si="543"/>
        <v>0</v>
      </c>
      <c r="AC482" s="691"/>
    </row>
    <row r="483" spans="3:29" x14ac:dyDescent="0.2">
      <c r="C483" s="97" t="s">
        <v>825</v>
      </c>
      <c r="D483" s="104">
        <f>SUM(D471:D482)</f>
        <v>0</v>
      </c>
      <c r="E483" s="104">
        <f>SUM(E471:E482)</f>
        <v>0</v>
      </c>
      <c r="F483" s="104">
        <f>SUM(F471:F482)</f>
        <v>0</v>
      </c>
      <c r="G483" s="692">
        <f>G482</f>
        <v>0</v>
      </c>
      <c r="H483" s="693"/>
      <c r="J483" s="97" t="s">
        <v>825</v>
      </c>
      <c r="K483" s="86">
        <f>SUM(K471:K482)</f>
        <v>0</v>
      </c>
      <c r="L483" s="86">
        <f>SUM(L471:L482)</f>
        <v>0</v>
      </c>
      <c r="M483" s="86">
        <f>SUM(M471:M482)</f>
        <v>0</v>
      </c>
      <c r="N483" s="692">
        <f>N482</f>
        <v>0</v>
      </c>
      <c r="O483" s="711"/>
      <c r="Q483" s="97" t="s">
        <v>825</v>
      </c>
      <c r="R483" s="104">
        <f>SUM(R471:R482)</f>
        <v>0</v>
      </c>
      <c r="S483" s="104">
        <f>SUM(S471:S482)</f>
        <v>0</v>
      </c>
      <c r="T483" s="104">
        <f>SUM(T471:T482)</f>
        <v>0</v>
      </c>
      <c r="U483" s="692">
        <f>U482</f>
        <v>0</v>
      </c>
      <c r="V483" s="693"/>
      <c r="X483" s="97" t="s">
        <v>825</v>
      </c>
      <c r="Y483" s="104">
        <f>SUM(Y471:Y482)</f>
        <v>0</v>
      </c>
      <c r="Z483" s="104">
        <f>SUM(Z471:Z482)</f>
        <v>0</v>
      </c>
      <c r="AA483" s="104">
        <f>SUM(AA471:AA482)</f>
        <v>0</v>
      </c>
      <c r="AB483" s="692">
        <f>AB482</f>
        <v>0</v>
      </c>
      <c r="AC483" s="693"/>
    </row>
    <row r="484" spans="3:29" x14ac:dyDescent="0.2">
      <c r="C484" s="95">
        <v>409</v>
      </c>
      <c r="D484" s="101" t="str">
        <f t="shared" ref="D484:D495" si="544">IF(G483&gt;0,G483*($E$36)/12,"$0.00")</f>
        <v>$0.00</v>
      </c>
      <c r="E484" s="101" t="str">
        <f t="shared" ref="E484:E495" si="545">IF(G483&gt;0,IF($E$38=4,"$0.00",IF($E$38=3,"$0.00",IF($E$38=2,"$0.00",+$G$39-D484))),"$0.00")</f>
        <v>$0.00</v>
      </c>
      <c r="F484" s="101" t="str">
        <f t="shared" ref="F484:F495" si="546">IF(G483=0,"$0.00",IF($E$38=4,"$0.00",IF($E$38=3,"$0.00",IF($E$38=2,D484,D484+E484))))</f>
        <v>$0.00</v>
      </c>
      <c r="G484" s="688" t="str">
        <f t="shared" ref="G484:G495" si="547">IF(G483=0,"$0.00",IF($E$38=4,G483+D484,IF($E$38=3,G483+D484,IF($E$38=2,G483,G483-E484))))</f>
        <v>$0.00</v>
      </c>
      <c r="H484" s="689"/>
      <c r="J484" s="95">
        <v>409</v>
      </c>
      <c r="K484" s="96">
        <f t="shared" ref="K484:K495" si="548">N483*($L$36)/12</f>
        <v>0</v>
      </c>
      <c r="L484" s="96">
        <f t="shared" ref="L484:L495" si="549">IF(L480=4,"$0.00",+$N$39-K484)</f>
        <v>0</v>
      </c>
      <c r="M484" s="96">
        <f t="shared" ref="M484:M495" si="550">IF(L480=4,"$0.00",K484+L484)</f>
        <v>0</v>
      </c>
      <c r="N484" s="709">
        <f t="shared" ref="N484:N495" si="551">IF(L480=4,N483+K484,N483-L484)</f>
        <v>0</v>
      </c>
      <c r="O484" s="710"/>
      <c r="Q484" s="95">
        <v>409</v>
      </c>
      <c r="R484" s="101" t="str">
        <f t="shared" ref="R484:R495" si="552">IF(U483&gt;0,U483*($S$36)/12,"$0.00")</f>
        <v>$0.00</v>
      </c>
      <c r="S484" s="101" t="str">
        <f t="shared" ref="S484:S495" si="553">IF(U483&gt;0,IF($S$38=4,"$0.00",IF($S$38=3,"$0.00",IF($S$38=2,"$0.00",+$U$39-R484))),"$0.00")</f>
        <v>$0.00</v>
      </c>
      <c r="T484" s="101" t="str">
        <f t="shared" ref="T484:T495" si="554">IF(U483=0,"$0.00",IF($S$38=4,"$0.00",IF($S$38=3,"$0.00",IF($S$38=2,R484,R484+S484))))</f>
        <v>$0.00</v>
      </c>
      <c r="U484" s="688" t="str">
        <f t="shared" ref="U484:U495" si="555">IF(U483=0,"$0.00",IF($S$38=4,U483+R484,IF($S$38=3,U483+R484,IF($S$38=2,U483,U483-S484))))</f>
        <v>$0.00</v>
      </c>
      <c r="V484" s="689"/>
      <c r="X484" s="95">
        <v>409</v>
      </c>
      <c r="Y484" s="101" t="str">
        <f t="shared" ref="Y484:Y495" si="556">IF(AB483&gt;0,AB483*($Z$36)/12,"$0.00")</f>
        <v>$0.00</v>
      </c>
      <c r="Z484" s="101" t="str">
        <f t="shared" ref="Z484:Z495" si="557">IF(AB483&gt;0,IF($Z$38=4,"$0.00",IF($Z$38=3,"$0.00",IF($Z$38=2,"$0.00",+$AB$39-Y484))),"$0.00")</f>
        <v>$0.00</v>
      </c>
      <c r="AA484" s="101" t="str">
        <f t="shared" ref="AA484:AA495" si="558">IF(AB483=0,"$0.00",IF($Z$38=4,"$0.00",IF($Z$38=3,"$0.00",IF($Z$38=2,Y484,Y484+Z484))))</f>
        <v>$0.00</v>
      </c>
      <c r="AB484" s="688" t="str">
        <f t="shared" ref="AB484:AB495" si="559">IF(AB483=0,"$0.00",IF($Z$38=4,AB483+Y484,IF($Z$38=3,AB483+Y484,IF($Z$38=2,AB483,AB483-Z484))))</f>
        <v>$0.00</v>
      </c>
      <c r="AC484" s="689"/>
    </row>
    <row r="485" spans="3:29" x14ac:dyDescent="0.2">
      <c r="C485" s="95">
        <v>410</v>
      </c>
      <c r="D485" s="101">
        <f t="shared" si="544"/>
        <v>0</v>
      </c>
      <c r="E485" s="101">
        <f t="shared" si="545"/>
        <v>0</v>
      </c>
      <c r="F485" s="101">
        <f t="shared" si="546"/>
        <v>0</v>
      </c>
      <c r="G485" s="688">
        <f t="shared" si="547"/>
        <v>0</v>
      </c>
      <c r="H485" s="689"/>
      <c r="J485" s="95">
        <v>410</v>
      </c>
      <c r="K485" s="96">
        <f t="shared" si="548"/>
        <v>0</v>
      </c>
      <c r="L485" s="96">
        <f t="shared" si="549"/>
        <v>0</v>
      </c>
      <c r="M485" s="96">
        <f t="shared" si="550"/>
        <v>0</v>
      </c>
      <c r="N485" s="688">
        <f t="shared" si="551"/>
        <v>0</v>
      </c>
      <c r="O485" s="689"/>
      <c r="Q485" s="95">
        <v>410</v>
      </c>
      <c r="R485" s="101">
        <f t="shared" si="552"/>
        <v>0</v>
      </c>
      <c r="S485" s="101">
        <f t="shared" si="553"/>
        <v>0</v>
      </c>
      <c r="T485" s="101">
        <f t="shared" si="554"/>
        <v>0</v>
      </c>
      <c r="U485" s="688">
        <f t="shared" si="555"/>
        <v>0</v>
      </c>
      <c r="V485" s="689"/>
      <c r="X485" s="95">
        <v>410</v>
      </c>
      <c r="Y485" s="101">
        <f t="shared" si="556"/>
        <v>0</v>
      </c>
      <c r="Z485" s="101">
        <f t="shared" si="557"/>
        <v>0</v>
      </c>
      <c r="AA485" s="101">
        <f t="shared" si="558"/>
        <v>0</v>
      </c>
      <c r="AB485" s="688">
        <f t="shared" si="559"/>
        <v>0</v>
      </c>
      <c r="AC485" s="689"/>
    </row>
    <row r="486" spans="3:29" x14ac:dyDescent="0.2">
      <c r="C486" s="95">
        <v>411</v>
      </c>
      <c r="D486" s="101" t="str">
        <f t="shared" si="544"/>
        <v>$0.00</v>
      </c>
      <c r="E486" s="101" t="str">
        <f t="shared" si="545"/>
        <v>$0.00</v>
      </c>
      <c r="F486" s="101" t="str">
        <f t="shared" si="546"/>
        <v>$0.00</v>
      </c>
      <c r="G486" s="688" t="str">
        <f t="shared" si="547"/>
        <v>$0.00</v>
      </c>
      <c r="H486" s="689"/>
      <c r="J486" s="95">
        <v>411</v>
      </c>
      <c r="K486" s="96">
        <f t="shared" si="548"/>
        <v>0</v>
      </c>
      <c r="L486" s="96">
        <f t="shared" si="549"/>
        <v>0</v>
      </c>
      <c r="M486" s="96">
        <f t="shared" si="550"/>
        <v>0</v>
      </c>
      <c r="N486" s="688">
        <f t="shared" si="551"/>
        <v>0</v>
      </c>
      <c r="O486" s="689"/>
      <c r="Q486" s="95">
        <v>411</v>
      </c>
      <c r="R486" s="101" t="str">
        <f t="shared" si="552"/>
        <v>$0.00</v>
      </c>
      <c r="S486" s="101" t="str">
        <f t="shared" si="553"/>
        <v>$0.00</v>
      </c>
      <c r="T486" s="101" t="str">
        <f t="shared" si="554"/>
        <v>$0.00</v>
      </c>
      <c r="U486" s="688" t="str">
        <f t="shared" si="555"/>
        <v>$0.00</v>
      </c>
      <c r="V486" s="689"/>
      <c r="X486" s="95">
        <v>411</v>
      </c>
      <c r="Y486" s="101" t="str">
        <f t="shared" si="556"/>
        <v>$0.00</v>
      </c>
      <c r="Z486" s="101" t="str">
        <f t="shared" si="557"/>
        <v>$0.00</v>
      </c>
      <c r="AA486" s="101" t="str">
        <f t="shared" si="558"/>
        <v>$0.00</v>
      </c>
      <c r="AB486" s="688" t="str">
        <f t="shared" si="559"/>
        <v>$0.00</v>
      </c>
      <c r="AC486" s="689"/>
    </row>
    <row r="487" spans="3:29" x14ac:dyDescent="0.2">
      <c r="C487" s="95">
        <v>412</v>
      </c>
      <c r="D487" s="101">
        <f t="shared" si="544"/>
        <v>0</v>
      </c>
      <c r="E487" s="101">
        <f t="shared" si="545"/>
        <v>0</v>
      </c>
      <c r="F487" s="101">
        <f t="shared" si="546"/>
        <v>0</v>
      </c>
      <c r="G487" s="688">
        <f t="shared" si="547"/>
        <v>0</v>
      </c>
      <c r="H487" s="689"/>
      <c r="J487" s="95">
        <v>412</v>
      </c>
      <c r="K487" s="96">
        <f t="shared" si="548"/>
        <v>0</v>
      </c>
      <c r="L487" s="96">
        <f t="shared" si="549"/>
        <v>0</v>
      </c>
      <c r="M487" s="96">
        <f t="shared" si="550"/>
        <v>0</v>
      </c>
      <c r="N487" s="688">
        <f t="shared" si="551"/>
        <v>0</v>
      </c>
      <c r="O487" s="689"/>
      <c r="Q487" s="95">
        <v>412</v>
      </c>
      <c r="R487" s="101">
        <f t="shared" si="552"/>
        <v>0</v>
      </c>
      <c r="S487" s="101">
        <f t="shared" si="553"/>
        <v>0</v>
      </c>
      <c r="T487" s="101">
        <f t="shared" si="554"/>
        <v>0</v>
      </c>
      <c r="U487" s="688">
        <f t="shared" si="555"/>
        <v>0</v>
      </c>
      <c r="V487" s="689"/>
      <c r="X487" s="95">
        <v>412</v>
      </c>
      <c r="Y487" s="101">
        <f t="shared" si="556"/>
        <v>0</v>
      </c>
      <c r="Z487" s="101">
        <f t="shared" si="557"/>
        <v>0</v>
      </c>
      <c r="AA487" s="101">
        <f t="shared" si="558"/>
        <v>0</v>
      </c>
      <c r="AB487" s="688">
        <f t="shared" si="559"/>
        <v>0</v>
      </c>
      <c r="AC487" s="689"/>
    </row>
    <row r="488" spans="3:29" x14ac:dyDescent="0.2">
      <c r="C488" s="95">
        <v>413</v>
      </c>
      <c r="D488" s="101" t="str">
        <f t="shared" si="544"/>
        <v>$0.00</v>
      </c>
      <c r="E488" s="101" t="str">
        <f t="shared" si="545"/>
        <v>$0.00</v>
      </c>
      <c r="F488" s="101" t="str">
        <f t="shared" si="546"/>
        <v>$0.00</v>
      </c>
      <c r="G488" s="688" t="str">
        <f t="shared" si="547"/>
        <v>$0.00</v>
      </c>
      <c r="H488" s="689"/>
      <c r="J488" s="95">
        <v>413</v>
      </c>
      <c r="K488" s="96">
        <f t="shared" si="548"/>
        <v>0</v>
      </c>
      <c r="L488" s="96">
        <f t="shared" si="549"/>
        <v>0</v>
      </c>
      <c r="M488" s="96">
        <f t="shared" si="550"/>
        <v>0</v>
      </c>
      <c r="N488" s="688">
        <f t="shared" si="551"/>
        <v>0</v>
      </c>
      <c r="O488" s="689"/>
      <c r="Q488" s="95">
        <v>413</v>
      </c>
      <c r="R488" s="101" t="str">
        <f t="shared" si="552"/>
        <v>$0.00</v>
      </c>
      <c r="S488" s="101" t="str">
        <f t="shared" si="553"/>
        <v>$0.00</v>
      </c>
      <c r="T488" s="101" t="str">
        <f t="shared" si="554"/>
        <v>$0.00</v>
      </c>
      <c r="U488" s="688" t="str">
        <f t="shared" si="555"/>
        <v>$0.00</v>
      </c>
      <c r="V488" s="689"/>
      <c r="X488" s="95">
        <v>413</v>
      </c>
      <c r="Y488" s="101" t="str">
        <f t="shared" si="556"/>
        <v>$0.00</v>
      </c>
      <c r="Z488" s="101" t="str">
        <f t="shared" si="557"/>
        <v>$0.00</v>
      </c>
      <c r="AA488" s="101" t="str">
        <f t="shared" si="558"/>
        <v>$0.00</v>
      </c>
      <c r="AB488" s="688" t="str">
        <f t="shared" si="559"/>
        <v>$0.00</v>
      </c>
      <c r="AC488" s="689"/>
    </row>
    <row r="489" spans="3:29" x14ac:dyDescent="0.2">
      <c r="C489" s="95">
        <v>414</v>
      </c>
      <c r="D489" s="101">
        <f t="shared" si="544"/>
        <v>0</v>
      </c>
      <c r="E489" s="101">
        <f t="shared" si="545"/>
        <v>0</v>
      </c>
      <c r="F489" s="101">
        <f t="shared" si="546"/>
        <v>0</v>
      </c>
      <c r="G489" s="688">
        <f t="shared" si="547"/>
        <v>0</v>
      </c>
      <c r="H489" s="689"/>
      <c r="J489" s="95">
        <v>414</v>
      </c>
      <c r="K489" s="96">
        <f t="shared" si="548"/>
        <v>0</v>
      </c>
      <c r="L489" s="96">
        <f t="shared" si="549"/>
        <v>0</v>
      </c>
      <c r="M489" s="96">
        <f t="shared" si="550"/>
        <v>0</v>
      </c>
      <c r="N489" s="688">
        <f t="shared" si="551"/>
        <v>0</v>
      </c>
      <c r="O489" s="689"/>
      <c r="Q489" s="95">
        <v>414</v>
      </c>
      <c r="R489" s="101">
        <f t="shared" si="552"/>
        <v>0</v>
      </c>
      <c r="S489" s="101">
        <f t="shared" si="553"/>
        <v>0</v>
      </c>
      <c r="T489" s="101">
        <f t="shared" si="554"/>
        <v>0</v>
      </c>
      <c r="U489" s="688">
        <f t="shared" si="555"/>
        <v>0</v>
      </c>
      <c r="V489" s="689"/>
      <c r="X489" s="95">
        <v>414</v>
      </c>
      <c r="Y489" s="101">
        <f t="shared" si="556"/>
        <v>0</v>
      </c>
      <c r="Z489" s="101">
        <f t="shared" si="557"/>
        <v>0</v>
      </c>
      <c r="AA489" s="101">
        <f t="shared" si="558"/>
        <v>0</v>
      </c>
      <c r="AB489" s="688">
        <f t="shared" si="559"/>
        <v>0</v>
      </c>
      <c r="AC489" s="689"/>
    </row>
    <row r="490" spans="3:29" x14ac:dyDescent="0.2">
      <c r="C490" s="95">
        <v>415</v>
      </c>
      <c r="D490" s="101" t="str">
        <f t="shared" si="544"/>
        <v>$0.00</v>
      </c>
      <c r="E490" s="101" t="str">
        <f t="shared" si="545"/>
        <v>$0.00</v>
      </c>
      <c r="F490" s="101" t="str">
        <f t="shared" si="546"/>
        <v>$0.00</v>
      </c>
      <c r="G490" s="688" t="str">
        <f t="shared" si="547"/>
        <v>$0.00</v>
      </c>
      <c r="H490" s="689"/>
      <c r="J490" s="95">
        <v>415</v>
      </c>
      <c r="K490" s="96">
        <f t="shared" si="548"/>
        <v>0</v>
      </c>
      <c r="L490" s="96">
        <f t="shared" si="549"/>
        <v>0</v>
      </c>
      <c r="M490" s="96">
        <f t="shared" si="550"/>
        <v>0</v>
      </c>
      <c r="N490" s="688">
        <f t="shared" si="551"/>
        <v>0</v>
      </c>
      <c r="O490" s="689"/>
      <c r="Q490" s="95">
        <v>415</v>
      </c>
      <c r="R490" s="101" t="str">
        <f t="shared" si="552"/>
        <v>$0.00</v>
      </c>
      <c r="S490" s="101" t="str">
        <f t="shared" si="553"/>
        <v>$0.00</v>
      </c>
      <c r="T490" s="101" t="str">
        <f t="shared" si="554"/>
        <v>$0.00</v>
      </c>
      <c r="U490" s="688" t="str">
        <f t="shared" si="555"/>
        <v>$0.00</v>
      </c>
      <c r="V490" s="689"/>
      <c r="X490" s="95">
        <v>415</v>
      </c>
      <c r="Y490" s="101" t="str">
        <f t="shared" si="556"/>
        <v>$0.00</v>
      </c>
      <c r="Z490" s="101" t="str">
        <f t="shared" si="557"/>
        <v>$0.00</v>
      </c>
      <c r="AA490" s="101" t="str">
        <f t="shared" si="558"/>
        <v>$0.00</v>
      </c>
      <c r="AB490" s="688" t="str">
        <f t="shared" si="559"/>
        <v>$0.00</v>
      </c>
      <c r="AC490" s="689"/>
    </row>
    <row r="491" spans="3:29" x14ac:dyDescent="0.2">
      <c r="C491" s="95">
        <v>416</v>
      </c>
      <c r="D491" s="101">
        <f t="shared" si="544"/>
        <v>0</v>
      </c>
      <c r="E491" s="101">
        <f t="shared" si="545"/>
        <v>0</v>
      </c>
      <c r="F491" s="101">
        <f t="shared" si="546"/>
        <v>0</v>
      </c>
      <c r="G491" s="688">
        <f t="shared" si="547"/>
        <v>0</v>
      </c>
      <c r="H491" s="689"/>
      <c r="J491" s="95">
        <v>416</v>
      </c>
      <c r="K491" s="96">
        <f t="shared" si="548"/>
        <v>0</v>
      </c>
      <c r="L491" s="96">
        <f t="shared" si="549"/>
        <v>0</v>
      </c>
      <c r="M491" s="96">
        <f t="shared" si="550"/>
        <v>0</v>
      </c>
      <c r="N491" s="688">
        <f t="shared" si="551"/>
        <v>0</v>
      </c>
      <c r="O491" s="689"/>
      <c r="Q491" s="95">
        <v>416</v>
      </c>
      <c r="R491" s="101">
        <f t="shared" si="552"/>
        <v>0</v>
      </c>
      <c r="S491" s="101">
        <f t="shared" si="553"/>
        <v>0</v>
      </c>
      <c r="T491" s="101">
        <f t="shared" si="554"/>
        <v>0</v>
      </c>
      <c r="U491" s="688">
        <f t="shared" si="555"/>
        <v>0</v>
      </c>
      <c r="V491" s="689"/>
      <c r="X491" s="95">
        <v>416</v>
      </c>
      <c r="Y491" s="101">
        <f t="shared" si="556"/>
        <v>0</v>
      </c>
      <c r="Z491" s="101">
        <f t="shared" si="557"/>
        <v>0</v>
      </c>
      <c r="AA491" s="101">
        <f t="shared" si="558"/>
        <v>0</v>
      </c>
      <c r="AB491" s="688">
        <f t="shared" si="559"/>
        <v>0</v>
      </c>
      <c r="AC491" s="689"/>
    </row>
    <row r="492" spans="3:29" x14ac:dyDescent="0.2">
      <c r="C492" s="95">
        <v>417</v>
      </c>
      <c r="D492" s="101" t="str">
        <f t="shared" si="544"/>
        <v>$0.00</v>
      </c>
      <c r="E492" s="101" t="str">
        <f t="shared" si="545"/>
        <v>$0.00</v>
      </c>
      <c r="F492" s="101" t="str">
        <f t="shared" si="546"/>
        <v>$0.00</v>
      </c>
      <c r="G492" s="688" t="str">
        <f t="shared" si="547"/>
        <v>$0.00</v>
      </c>
      <c r="H492" s="689"/>
      <c r="J492" s="95">
        <v>417</v>
      </c>
      <c r="K492" s="96">
        <f t="shared" si="548"/>
        <v>0</v>
      </c>
      <c r="L492" s="96">
        <f t="shared" si="549"/>
        <v>0</v>
      </c>
      <c r="M492" s="96">
        <f t="shared" si="550"/>
        <v>0</v>
      </c>
      <c r="N492" s="688">
        <f t="shared" si="551"/>
        <v>0</v>
      </c>
      <c r="O492" s="689"/>
      <c r="Q492" s="95">
        <v>417</v>
      </c>
      <c r="R492" s="101" t="str">
        <f t="shared" si="552"/>
        <v>$0.00</v>
      </c>
      <c r="S492" s="101" t="str">
        <f t="shared" si="553"/>
        <v>$0.00</v>
      </c>
      <c r="T492" s="101" t="str">
        <f t="shared" si="554"/>
        <v>$0.00</v>
      </c>
      <c r="U492" s="688" t="str">
        <f t="shared" si="555"/>
        <v>$0.00</v>
      </c>
      <c r="V492" s="689"/>
      <c r="X492" s="95">
        <v>417</v>
      </c>
      <c r="Y492" s="101" t="str">
        <f t="shared" si="556"/>
        <v>$0.00</v>
      </c>
      <c r="Z492" s="101" t="str">
        <f t="shared" si="557"/>
        <v>$0.00</v>
      </c>
      <c r="AA492" s="101" t="str">
        <f t="shared" si="558"/>
        <v>$0.00</v>
      </c>
      <c r="AB492" s="688" t="str">
        <f t="shared" si="559"/>
        <v>$0.00</v>
      </c>
      <c r="AC492" s="689"/>
    </row>
    <row r="493" spans="3:29" x14ac:dyDescent="0.2">
      <c r="C493" s="95">
        <v>418</v>
      </c>
      <c r="D493" s="101">
        <f t="shared" si="544"/>
        <v>0</v>
      </c>
      <c r="E493" s="101">
        <f t="shared" si="545"/>
        <v>0</v>
      </c>
      <c r="F493" s="101">
        <f t="shared" si="546"/>
        <v>0</v>
      </c>
      <c r="G493" s="688">
        <f t="shared" si="547"/>
        <v>0</v>
      </c>
      <c r="H493" s="689"/>
      <c r="J493" s="95">
        <v>418</v>
      </c>
      <c r="K493" s="96">
        <f t="shared" si="548"/>
        <v>0</v>
      </c>
      <c r="L493" s="96">
        <f t="shared" si="549"/>
        <v>0</v>
      </c>
      <c r="M493" s="96">
        <f t="shared" si="550"/>
        <v>0</v>
      </c>
      <c r="N493" s="688">
        <f t="shared" si="551"/>
        <v>0</v>
      </c>
      <c r="O493" s="689"/>
      <c r="Q493" s="95">
        <v>418</v>
      </c>
      <c r="R493" s="101">
        <f t="shared" si="552"/>
        <v>0</v>
      </c>
      <c r="S493" s="101">
        <f t="shared" si="553"/>
        <v>0</v>
      </c>
      <c r="T493" s="101">
        <f t="shared" si="554"/>
        <v>0</v>
      </c>
      <c r="U493" s="688">
        <f t="shared" si="555"/>
        <v>0</v>
      </c>
      <c r="V493" s="689"/>
      <c r="X493" s="95">
        <v>418</v>
      </c>
      <c r="Y493" s="101">
        <f t="shared" si="556"/>
        <v>0</v>
      </c>
      <c r="Z493" s="101">
        <f t="shared" si="557"/>
        <v>0</v>
      </c>
      <c r="AA493" s="101">
        <f t="shared" si="558"/>
        <v>0</v>
      </c>
      <c r="AB493" s="688">
        <f t="shared" si="559"/>
        <v>0</v>
      </c>
      <c r="AC493" s="689"/>
    </row>
    <row r="494" spans="3:29" x14ac:dyDescent="0.2">
      <c r="C494" s="95">
        <v>419</v>
      </c>
      <c r="D494" s="101" t="str">
        <f t="shared" si="544"/>
        <v>$0.00</v>
      </c>
      <c r="E494" s="101" t="str">
        <f t="shared" si="545"/>
        <v>$0.00</v>
      </c>
      <c r="F494" s="101" t="str">
        <f t="shared" si="546"/>
        <v>$0.00</v>
      </c>
      <c r="G494" s="688" t="str">
        <f t="shared" si="547"/>
        <v>$0.00</v>
      </c>
      <c r="H494" s="689"/>
      <c r="J494" s="95">
        <v>419</v>
      </c>
      <c r="K494" s="96">
        <f t="shared" si="548"/>
        <v>0</v>
      </c>
      <c r="L494" s="96">
        <f t="shared" si="549"/>
        <v>0</v>
      </c>
      <c r="M494" s="96">
        <f t="shared" si="550"/>
        <v>0</v>
      </c>
      <c r="N494" s="688">
        <f t="shared" si="551"/>
        <v>0</v>
      </c>
      <c r="O494" s="689"/>
      <c r="Q494" s="95">
        <v>419</v>
      </c>
      <c r="R494" s="101" t="str">
        <f t="shared" si="552"/>
        <v>$0.00</v>
      </c>
      <c r="S494" s="101" t="str">
        <f t="shared" si="553"/>
        <v>$0.00</v>
      </c>
      <c r="T494" s="101" t="str">
        <f t="shared" si="554"/>
        <v>$0.00</v>
      </c>
      <c r="U494" s="688" t="str">
        <f t="shared" si="555"/>
        <v>$0.00</v>
      </c>
      <c r="V494" s="689"/>
      <c r="X494" s="95">
        <v>419</v>
      </c>
      <c r="Y494" s="101" t="str">
        <f t="shared" si="556"/>
        <v>$0.00</v>
      </c>
      <c r="Z494" s="101" t="str">
        <f t="shared" si="557"/>
        <v>$0.00</v>
      </c>
      <c r="AA494" s="101" t="str">
        <f t="shared" si="558"/>
        <v>$0.00</v>
      </c>
      <c r="AB494" s="688" t="str">
        <f t="shared" si="559"/>
        <v>$0.00</v>
      </c>
      <c r="AC494" s="689"/>
    </row>
    <row r="495" spans="3:29" x14ac:dyDescent="0.2">
      <c r="C495" s="95">
        <v>420</v>
      </c>
      <c r="D495" s="101">
        <f t="shared" si="544"/>
        <v>0</v>
      </c>
      <c r="E495" s="101">
        <f t="shared" si="545"/>
        <v>0</v>
      </c>
      <c r="F495" s="101">
        <f t="shared" si="546"/>
        <v>0</v>
      </c>
      <c r="G495" s="690">
        <f t="shared" si="547"/>
        <v>0</v>
      </c>
      <c r="H495" s="691"/>
      <c r="J495" s="95">
        <v>420</v>
      </c>
      <c r="K495" s="96">
        <f t="shared" si="548"/>
        <v>0</v>
      </c>
      <c r="L495" s="96">
        <f t="shared" si="549"/>
        <v>0</v>
      </c>
      <c r="M495" s="96">
        <f t="shared" si="550"/>
        <v>0</v>
      </c>
      <c r="N495" s="690">
        <f t="shared" si="551"/>
        <v>0</v>
      </c>
      <c r="O495" s="691"/>
      <c r="Q495" s="95">
        <v>420</v>
      </c>
      <c r="R495" s="101">
        <f t="shared" si="552"/>
        <v>0</v>
      </c>
      <c r="S495" s="101">
        <f t="shared" si="553"/>
        <v>0</v>
      </c>
      <c r="T495" s="101">
        <f t="shared" si="554"/>
        <v>0</v>
      </c>
      <c r="U495" s="690">
        <f t="shared" si="555"/>
        <v>0</v>
      </c>
      <c r="V495" s="691"/>
      <c r="X495" s="95">
        <v>420</v>
      </c>
      <c r="Y495" s="101">
        <f t="shared" si="556"/>
        <v>0</v>
      </c>
      <c r="Z495" s="101">
        <f t="shared" si="557"/>
        <v>0</v>
      </c>
      <c r="AA495" s="101">
        <f t="shared" si="558"/>
        <v>0</v>
      </c>
      <c r="AB495" s="690">
        <f t="shared" si="559"/>
        <v>0</v>
      </c>
      <c r="AC495" s="691"/>
    </row>
    <row r="496" spans="3:29" x14ac:dyDescent="0.2">
      <c r="C496" s="97" t="s">
        <v>826</v>
      </c>
      <c r="D496" s="104">
        <f>SUM(D484:D495)</f>
        <v>0</v>
      </c>
      <c r="E496" s="104">
        <f>SUM(E484:E495)</f>
        <v>0</v>
      </c>
      <c r="F496" s="104">
        <f>SUM(F484:F495)</f>
        <v>0</v>
      </c>
      <c r="G496" s="692">
        <f>G495</f>
        <v>0</v>
      </c>
      <c r="H496" s="693"/>
      <c r="J496" s="97" t="s">
        <v>826</v>
      </c>
      <c r="K496" s="86">
        <f>SUM(K484:K495)</f>
        <v>0</v>
      </c>
      <c r="L496" s="86">
        <f>SUM(L484:L495)</f>
        <v>0</v>
      </c>
      <c r="M496" s="86">
        <f>SUM(M484:M495)</f>
        <v>0</v>
      </c>
      <c r="N496" s="692">
        <f>N495</f>
        <v>0</v>
      </c>
      <c r="O496" s="711"/>
      <c r="Q496" s="97" t="s">
        <v>826</v>
      </c>
      <c r="R496" s="104">
        <f>SUM(R484:R495)</f>
        <v>0</v>
      </c>
      <c r="S496" s="104">
        <f>SUM(S484:S495)</f>
        <v>0</v>
      </c>
      <c r="T496" s="104">
        <f>SUM(T484:T495)</f>
        <v>0</v>
      </c>
      <c r="U496" s="692">
        <f>U495</f>
        <v>0</v>
      </c>
      <c r="V496" s="693"/>
      <c r="X496" s="97" t="s">
        <v>826</v>
      </c>
      <c r="Y496" s="104">
        <f>SUM(Y484:Y495)</f>
        <v>0</v>
      </c>
      <c r="Z496" s="104">
        <f>SUM(Z484:Z495)</f>
        <v>0</v>
      </c>
      <c r="AA496" s="104">
        <f>SUM(AA484:AA495)</f>
        <v>0</v>
      </c>
      <c r="AB496" s="692">
        <f>AB495</f>
        <v>0</v>
      </c>
      <c r="AC496" s="693"/>
    </row>
    <row r="497" spans="3:29" x14ac:dyDescent="0.2">
      <c r="C497" s="95">
        <v>421</v>
      </c>
      <c r="D497" s="101" t="str">
        <f t="shared" ref="D497:D508" si="560">IF(G496&gt;0,G496*($E$36)/12,"$0.00")</f>
        <v>$0.00</v>
      </c>
      <c r="E497" s="101" t="str">
        <f t="shared" ref="E497:E508" si="561">IF(G496&gt;0,IF($E$38=4,"$0.00",IF($E$38=3,"$0.00",IF($E$38=2,"$0.00",+$G$39-D497))),"$0.00")</f>
        <v>$0.00</v>
      </c>
      <c r="F497" s="101" t="str">
        <f t="shared" ref="F497:F508" si="562">IF(G496=0,"$0.00",IF($E$38=4,"$0.00",IF($E$38=3,"$0.00",IF($E$38=2,D497,D497+E497))))</f>
        <v>$0.00</v>
      </c>
      <c r="G497" s="688" t="str">
        <f t="shared" ref="G497:G508" si="563">IF(G496=0,"$0.00",IF($E$38=4,G496+D497,IF($E$38=3,G496+D497,IF($E$38=2,G496,G496-E497))))</f>
        <v>$0.00</v>
      </c>
      <c r="H497" s="689"/>
      <c r="J497" s="95">
        <v>421</v>
      </c>
      <c r="K497" s="96">
        <f t="shared" ref="K497:K508" si="564">N496*($L$36)/12</f>
        <v>0</v>
      </c>
      <c r="L497" s="96">
        <f t="shared" ref="L497:L508" si="565">IF(L493=4,"$0.00",+$N$39-K497)</f>
        <v>0</v>
      </c>
      <c r="M497" s="96">
        <f t="shared" ref="M497:M508" si="566">IF(L493=4,"$0.00",K497+L497)</f>
        <v>0</v>
      </c>
      <c r="N497" s="709">
        <f t="shared" ref="N497:N508" si="567">IF(L493=4,N496+K497,N496-L497)</f>
        <v>0</v>
      </c>
      <c r="O497" s="710"/>
      <c r="Q497" s="95">
        <v>421</v>
      </c>
      <c r="R497" s="101" t="str">
        <f t="shared" ref="R497:R508" si="568">IF(U496&gt;0,U496*($S$36)/12,"$0.00")</f>
        <v>$0.00</v>
      </c>
      <c r="S497" s="101" t="str">
        <f t="shared" ref="S497:S508" si="569">IF(U496&gt;0,IF($S$38=4,"$0.00",IF($S$38=3,"$0.00",IF($S$38=2,"$0.00",+$U$39-R497))),"$0.00")</f>
        <v>$0.00</v>
      </c>
      <c r="T497" s="101" t="str">
        <f t="shared" ref="T497:T508" si="570">IF(U496=0,"$0.00",IF($S$38=4,"$0.00",IF($S$38=3,"$0.00",IF($S$38=2,R497,R497+S497))))</f>
        <v>$0.00</v>
      </c>
      <c r="U497" s="688" t="str">
        <f t="shared" ref="U497:U508" si="571">IF(U496=0,"$0.00",IF($S$38=4,U496+R497,IF($S$38=3,U496+R497,IF($S$38=2,U496,U496-S497))))</f>
        <v>$0.00</v>
      </c>
      <c r="V497" s="689"/>
      <c r="X497" s="95">
        <v>421</v>
      </c>
      <c r="Y497" s="101" t="str">
        <f t="shared" ref="Y497:Y508" si="572">IF(AB496&gt;0,AB496*($Z$36)/12,"$0.00")</f>
        <v>$0.00</v>
      </c>
      <c r="Z497" s="101" t="str">
        <f t="shared" ref="Z497:Z508" si="573">IF(AB496&gt;0,IF($Z$38=4,"$0.00",IF($Z$38=3,"$0.00",IF($Z$38=2,"$0.00",+$AB$39-Y497))),"$0.00")</f>
        <v>$0.00</v>
      </c>
      <c r="AA497" s="101" t="str">
        <f t="shared" ref="AA497:AA508" si="574">IF(AB496=0,"$0.00",IF($Z$38=4,"$0.00",IF($Z$38=3,"$0.00",IF($Z$38=2,Y497,Y497+Z497))))</f>
        <v>$0.00</v>
      </c>
      <c r="AB497" s="688" t="str">
        <f t="shared" ref="AB497:AB508" si="575">IF(AB496=0,"$0.00",IF($Z$38=4,AB496+Y497,IF($Z$38=3,AB496+Y497,IF($Z$38=2,AB496,AB496-Z497))))</f>
        <v>$0.00</v>
      </c>
      <c r="AC497" s="689"/>
    </row>
    <row r="498" spans="3:29" x14ac:dyDescent="0.2">
      <c r="C498" s="95">
        <v>422</v>
      </c>
      <c r="D498" s="101">
        <f t="shared" si="560"/>
        <v>0</v>
      </c>
      <c r="E498" s="101">
        <f t="shared" si="561"/>
        <v>0</v>
      </c>
      <c r="F498" s="101">
        <f t="shared" si="562"/>
        <v>0</v>
      </c>
      <c r="G498" s="688">
        <f t="shared" si="563"/>
        <v>0</v>
      </c>
      <c r="H498" s="689"/>
      <c r="J498" s="95">
        <v>422</v>
      </c>
      <c r="K498" s="96">
        <f t="shared" si="564"/>
        <v>0</v>
      </c>
      <c r="L498" s="96">
        <f t="shared" si="565"/>
        <v>0</v>
      </c>
      <c r="M498" s="96">
        <f t="shared" si="566"/>
        <v>0</v>
      </c>
      <c r="N498" s="688">
        <f t="shared" si="567"/>
        <v>0</v>
      </c>
      <c r="O498" s="689"/>
      <c r="Q498" s="95">
        <v>422</v>
      </c>
      <c r="R498" s="101">
        <f t="shared" si="568"/>
        <v>0</v>
      </c>
      <c r="S498" s="101">
        <f t="shared" si="569"/>
        <v>0</v>
      </c>
      <c r="T498" s="101">
        <f t="shared" si="570"/>
        <v>0</v>
      </c>
      <c r="U498" s="688">
        <f t="shared" si="571"/>
        <v>0</v>
      </c>
      <c r="V498" s="689"/>
      <c r="X498" s="95">
        <v>422</v>
      </c>
      <c r="Y498" s="101">
        <f t="shared" si="572"/>
        <v>0</v>
      </c>
      <c r="Z498" s="101">
        <f t="shared" si="573"/>
        <v>0</v>
      </c>
      <c r="AA498" s="101">
        <f t="shared" si="574"/>
        <v>0</v>
      </c>
      <c r="AB498" s="688">
        <f t="shared" si="575"/>
        <v>0</v>
      </c>
      <c r="AC498" s="689"/>
    </row>
    <row r="499" spans="3:29" x14ac:dyDescent="0.2">
      <c r="C499" s="95">
        <v>423</v>
      </c>
      <c r="D499" s="101" t="str">
        <f t="shared" si="560"/>
        <v>$0.00</v>
      </c>
      <c r="E499" s="101" t="str">
        <f t="shared" si="561"/>
        <v>$0.00</v>
      </c>
      <c r="F499" s="101" t="str">
        <f t="shared" si="562"/>
        <v>$0.00</v>
      </c>
      <c r="G499" s="688" t="str">
        <f t="shared" si="563"/>
        <v>$0.00</v>
      </c>
      <c r="H499" s="689"/>
      <c r="J499" s="95">
        <v>423</v>
      </c>
      <c r="K499" s="96">
        <f t="shared" si="564"/>
        <v>0</v>
      </c>
      <c r="L499" s="96">
        <f t="shared" si="565"/>
        <v>0</v>
      </c>
      <c r="M499" s="96">
        <f t="shared" si="566"/>
        <v>0</v>
      </c>
      <c r="N499" s="688">
        <f t="shared" si="567"/>
        <v>0</v>
      </c>
      <c r="O499" s="689"/>
      <c r="Q499" s="95">
        <v>423</v>
      </c>
      <c r="R499" s="101" t="str">
        <f t="shared" si="568"/>
        <v>$0.00</v>
      </c>
      <c r="S499" s="101" t="str">
        <f t="shared" si="569"/>
        <v>$0.00</v>
      </c>
      <c r="T499" s="101" t="str">
        <f t="shared" si="570"/>
        <v>$0.00</v>
      </c>
      <c r="U499" s="688" t="str">
        <f t="shared" si="571"/>
        <v>$0.00</v>
      </c>
      <c r="V499" s="689"/>
      <c r="X499" s="95">
        <v>423</v>
      </c>
      <c r="Y499" s="101" t="str">
        <f t="shared" si="572"/>
        <v>$0.00</v>
      </c>
      <c r="Z499" s="101" t="str">
        <f t="shared" si="573"/>
        <v>$0.00</v>
      </c>
      <c r="AA499" s="101" t="str">
        <f t="shared" si="574"/>
        <v>$0.00</v>
      </c>
      <c r="AB499" s="688" t="str">
        <f t="shared" si="575"/>
        <v>$0.00</v>
      </c>
      <c r="AC499" s="689"/>
    </row>
    <row r="500" spans="3:29" x14ac:dyDescent="0.2">
      <c r="C500" s="95">
        <v>424</v>
      </c>
      <c r="D500" s="101">
        <f t="shared" si="560"/>
        <v>0</v>
      </c>
      <c r="E500" s="101">
        <f t="shared" si="561"/>
        <v>0</v>
      </c>
      <c r="F500" s="101">
        <f t="shared" si="562"/>
        <v>0</v>
      </c>
      <c r="G500" s="688">
        <f t="shared" si="563"/>
        <v>0</v>
      </c>
      <c r="H500" s="689"/>
      <c r="J500" s="95">
        <v>424</v>
      </c>
      <c r="K500" s="96">
        <f t="shared" si="564"/>
        <v>0</v>
      </c>
      <c r="L500" s="96">
        <f t="shared" si="565"/>
        <v>0</v>
      </c>
      <c r="M500" s="96">
        <f t="shared" si="566"/>
        <v>0</v>
      </c>
      <c r="N500" s="688">
        <f t="shared" si="567"/>
        <v>0</v>
      </c>
      <c r="O500" s="689"/>
      <c r="Q500" s="95">
        <v>424</v>
      </c>
      <c r="R500" s="101">
        <f t="shared" si="568"/>
        <v>0</v>
      </c>
      <c r="S500" s="101">
        <f t="shared" si="569"/>
        <v>0</v>
      </c>
      <c r="T500" s="101">
        <f t="shared" si="570"/>
        <v>0</v>
      </c>
      <c r="U500" s="688">
        <f t="shared" si="571"/>
        <v>0</v>
      </c>
      <c r="V500" s="689"/>
      <c r="X500" s="95">
        <v>424</v>
      </c>
      <c r="Y500" s="101">
        <f t="shared" si="572"/>
        <v>0</v>
      </c>
      <c r="Z500" s="101">
        <f t="shared" si="573"/>
        <v>0</v>
      </c>
      <c r="AA500" s="101">
        <f t="shared" si="574"/>
        <v>0</v>
      </c>
      <c r="AB500" s="688">
        <f t="shared" si="575"/>
        <v>0</v>
      </c>
      <c r="AC500" s="689"/>
    </row>
    <row r="501" spans="3:29" x14ac:dyDescent="0.2">
      <c r="C501" s="95">
        <v>425</v>
      </c>
      <c r="D501" s="101" t="str">
        <f t="shared" si="560"/>
        <v>$0.00</v>
      </c>
      <c r="E501" s="101" t="str">
        <f t="shared" si="561"/>
        <v>$0.00</v>
      </c>
      <c r="F501" s="101" t="str">
        <f t="shared" si="562"/>
        <v>$0.00</v>
      </c>
      <c r="G501" s="688" t="str">
        <f t="shared" si="563"/>
        <v>$0.00</v>
      </c>
      <c r="H501" s="689"/>
      <c r="J501" s="95">
        <v>425</v>
      </c>
      <c r="K501" s="96">
        <f t="shared" si="564"/>
        <v>0</v>
      </c>
      <c r="L501" s="96">
        <f t="shared" si="565"/>
        <v>0</v>
      </c>
      <c r="M501" s="96">
        <f t="shared" si="566"/>
        <v>0</v>
      </c>
      <c r="N501" s="688">
        <f t="shared" si="567"/>
        <v>0</v>
      </c>
      <c r="O501" s="689"/>
      <c r="Q501" s="95">
        <v>425</v>
      </c>
      <c r="R501" s="101" t="str">
        <f t="shared" si="568"/>
        <v>$0.00</v>
      </c>
      <c r="S501" s="101" t="str">
        <f t="shared" si="569"/>
        <v>$0.00</v>
      </c>
      <c r="T501" s="101" t="str">
        <f t="shared" si="570"/>
        <v>$0.00</v>
      </c>
      <c r="U501" s="688" t="str">
        <f t="shared" si="571"/>
        <v>$0.00</v>
      </c>
      <c r="V501" s="689"/>
      <c r="X501" s="95">
        <v>425</v>
      </c>
      <c r="Y501" s="101" t="str">
        <f t="shared" si="572"/>
        <v>$0.00</v>
      </c>
      <c r="Z501" s="101" t="str">
        <f t="shared" si="573"/>
        <v>$0.00</v>
      </c>
      <c r="AA501" s="101" t="str">
        <f t="shared" si="574"/>
        <v>$0.00</v>
      </c>
      <c r="AB501" s="688" t="str">
        <f t="shared" si="575"/>
        <v>$0.00</v>
      </c>
      <c r="AC501" s="689"/>
    </row>
    <row r="502" spans="3:29" x14ac:dyDescent="0.2">
      <c r="C502" s="95">
        <v>426</v>
      </c>
      <c r="D502" s="101">
        <f t="shared" si="560"/>
        <v>0</v>
      </c>
      <c r="E502" s="101">
        <f t="shared" si="561"/>
        <v>0</v>
      </c>
      <c r="F502" s="101">
        <f t="shared" si="562"/>
        <v>0</v>
      </c>
      <c r="G502" s="688">
        <f t="shared" si="563"/>
        <v>0</v>
      </c>
      <c r="H502" s="689"/>
      <c r="J502" s="95">
        <v>426</v>
      </c>
      <c r="K502" s="96">
        <f t="shared" si="564"/>
        <v>0</v>
      </c>
      <c r="L502" s="96">
        <f t="shared" si="565"/>
        <v>0</v>
      </c>
      <c r="M502" s="96">
        <f t="shared" si="566"/>
        <v>0</v>
      </c>
      <c r="N502" s="688">
        <f t="shared" si="567"/>
        <v>0</v>
      </c>
      <c r="O502" s="689"/>
      <c r="Q502" s="95">
        <v>426</v>
      </c>
      <c r="R502" s="101">
        <f t="shared" si="568"/>
        <v>0</v>
      </c>
      <c r="S502" s="101">
        <f t="shared" si="569"/>
        <v>0</v>
      </c>
      <c r="T502" s="101">
        <f t="shared" si="570"/>
        <v>0</v>
      </c>
      <c r="U502" s="688">
        <f t="shared" si="571"/>
        <v>0</v>
      </c>
      <c r="V502" s="689"/>
      <c r="X502" s="95">
        <v>426</v>
      </c>
      <c r="Y502" s="101">
        <f t="shared" si="572"/>
        <v>0</v>
      </c>
      <c r="Z502" s="101">
        <f t="shared" si="573"/>
        <v>0</v>
      </c>
      <c r="AA502" s="101">
        <f t="shared" si="574"/>
        <v>0</v>
      </c>
      <c r="AB502" s="688">
        <f t="shared" si="575"/>
        <v>0</v>
      </c>
      <c r="AC502" s="689"/>
    </row>
    <row r="503" spans="3:29" x14ac:dyDescent="0.2">
      <c r="C503" s="95">
        <v>427</v>
      </c>
      <c r="D503" s="101" t="str">
        <f t="shared" si="560"/>
        <v>$0.00</v>
      </c>
      <c r="E503" s="101" t="str">
        <f t="shared" si="561"/>
        <v>$0.00</v>
      </c>
      <c r="F503" s="101" t="str">
        <f t="shared" si="562"/>
        <v>$0.00</v>
      </c>
      <c r="G503" s="688" t="str">
        <f t="shared" si="563"/>
        <v>$0.00</v>
      </c>
      <c r="H503" s="689"/>
      <c r="J503" s="95">
        <v>427</v>
      </c>
      <c r="K503" s="96">
        <f t="shared" si="564"/>
        <v>0</v>
      </c>
      <c r="L503" s="96">
        <f t="shared" si="565"/>
        <v>0</v>
      </c>
      <c r="M503" s="96">
        <f t="shared" si="566"/>
        <v>0</v>
      </c>
      <c r="N503" s="688">
        <f t="shared" si="567"/>
        <v>0</v>
      </c>
      <c r="O503" s="689"/>
      <c r="Q503" s="95">
        <v>427</v>
      </c>
      <c r="R503" s="101" t="str">
        <f t="shared" si="568"/>
        <v>$0.00</v>
      </c>
      <c r="S503" s="101" t="str">
        <f t="shared" si="569"/>
        <v>$0.00</v>
      </c>
      <c r="T503" s="101" t="str">
        <f t="shared" si="570"/>
        <v>$0.00</v>
      </c>
      <c r="U503" s="688" t="str">
        <f t="shared" si="571"/>
        <v>$0.00</v>
      </c>
      <c r="V503" s="689"/>
      <c r="X503" s="95">
        <v>427</v>
      </c>
      <c r="Y503" s="101" t="str">
        <f t="shared" si="572"/>
        <v>$0.00</v>
      </c>
      <c r="Z503" s="101" t="str">
        <f t="shared" si="573"/>
        <v>$0.00</v>
      </c>
      <c r="AA503" s="101" t="str">
        <f t="shared" si="574"/>
        <v>$0.00</v>
      </c>
      <c r="AB503" s="688" t="str">
        <f t="shared" si="575"/>
        <v>$0.00</v>
      </c>
      <c r="AC503" s="689"/>
    </row>
    <row r="504" spans="3:29" x14ac:dyDescent="0.2">
      <c r="C504" s="95">
        <v>428</v>
      </c>
      <c r="D504" s="101">
        <f t="shared" si="560"/>
        <v>0</v>
      </c>
      <c r="E504" s="101">
        <f t="shared" si="561"/>
        <v>0</v>
      </c>
      <c r="F504" s="101">
        <f t="shared" si="562"/>
        <v>0</v>
      </c>
      <c r="G504" s="688">
        <f t="shared" si="563"/>
        <v>0</v>
      </c>
      <c r="H504" s="689"/>
      <c r="J504" s="95">
        <v>428</v>
      </c>
      <c r="K504" s="96">
        <f t="shared" si="564"/>
        <v>0</v>
      </c>
      <c r="L504" s="96">
        <f t="shared" si="565"/>
        <v>0</v>
      </c>
      <c r="M504" s="96">
        <f t="shared" si="566"/>
        <v>0</v>
      </c>
      <c r="N504" s="688">
        <f t="shared" si="567"/>
        <v>0</v>
      </c>
      <c r="O504" s="689"/>
      <c r="Q504" s="95">
        <v>428</v>
      </c>
      <c r="R504" s="101">
        <f t="shared" si="568"/>
        <v>0</v>
      </c>
      <c r="S504" s="101">
        <f t="shared" si="569"/>
        <v>0</v>
      </c>
      <c r="T504" s="101">
        <f t="shared" si="570"/>
        <v>0</v>
      </c>
      <c r="U504" s="688">
        <f t="shared" si="571"/>
        <v>0</v>
      </c>
      <c r="V504" s="689"/>
      <c r="X504" s="95">
        <v>428</v>
      </c>
      <c r="Y504" s="101">
        <f t="shared" si="572"/>
        <v>0</v>
      </c>
      <c r="Z504" s="101">
        <f t="shared" si="573"/>
        <v>0</v>
      </c>
      <c r="AA504" s="101">
        <f t="shared" si="574"/>
        <v>0</v>
      </c>
      <c r="AB504" s="688">
        <f t="shared" si="575"/>
        <v>0</v>
      </c>
      <c r="AC504" s="689"/>
    </row>
    <row r="505" spans="3:29" x14ac:dyDescent="0.2">
      <c r="C505" s="95">
        <v>429</v>
      </c>
      <c r="D505" s="101" t="str">
        <f t="shared" si="560"/>
        <v>$0.00</v>
      </c>
      <c r="E505" s="101" t="str">
        <f t="shared" si="561"/>
        <v>$0.00</v>
      </c>
      <c r="F505" s="101" t="str">
        <f t="shared" si="562"/>
        <v>$0.00</v>
      </c>
      <c r="G505" s="688" t="str">
        <f t="shared" si="563"/>
        <v>$0.00</v>
      </c>
      <c r="H505" s="689"/>
      <c r="J505" s="95">
        <v>429</v>
      </c>
      <c r="K505" s="96">
        <f t="shared" si="564"/>
        <v>0</v>
      </c>
      <c r="L505" s="96">
        <f t="shared" si="565"/>
        <v>0</v>
      </c>
      <c r="M505" s="96">
        <f t="shared" si="566"/>
        <v>0</v>
      </c>
      <c r="N505" s="688">
        <f t="shared" si="567"/>
        <v>0</v>
      </c>
      <c r="O505" s="689"/>
      <c r="Q505" s="95">
        <v>429</v>
      </c>
      <c r="R505" s="101" t="str">
        <f t="shared" si="568"/>
        <v>$0.00</v>
      </c>
      <c r="S505" s="101" t="str">
        <f t="shared" si="569"/>
        <v>$0.00</v>
      </c>
      <c r="T505" s="101" t="str">
        <f t="shared" si="570"/>
        <v>$0.00</v>
      </c>
      <c r="U505" s="688" t="str">
        <f t="shared" si="571"/>
        <v>$0.00</v>
      </c>
      <c r="V505" s="689"/>
      <c r="X505" s="95">
        <v>429</v>
      </c>
      <c r="Y505" s="101" t="str">
        <f t="shared" si="572"/>
        <v>$0.00</v>
      </c>
      <c r="Z505" s="101" t="str">
        <f t="shared" si="573"/>
        <v>$0.00</v>
      </c>
      <c r="AA505" s="101" t="str">
        <f t="shared" si="574"/>
        <v>$0.00</v>
      </c>
      <c r="AB505" s="688" t="str">
        <f t="shared" si="575"/>
        <v>$0.00</v>
      </c>
      <c r="AC505" s="689"/>
    </row>
    <row r="506" spans="3:29" x14ac:dyDescent="0.2">
      <c r="C506" s="95">
        <v>430</v>
      </c>
      <c r="D506" s="101">
        <f t="shared" si="560"/>
        <v>0</v>
      </c>
      <c r="E506" s="101">
        <f t="shared" si="561"/>
        <v>0</v>
      </c>
      <c r="F506" s="101">
        <f t="shared" si="562"/>
        <v>0</v>
      </c>
      <c r="G506" s="688">
        <f t="shared" si="563"/>
        <v>0</v>
      </c>
      <c r="H506" s="689"/>
      <c r="J506" s="95">
        <v>430</v>
      </c>
      <c r="K506" s="96">
        <f t="shared" si="564"/>
        <v>0</v>
      </c>
      <c r="L506" s="96">
        <f t="shared" si="565"/>
        <v>0</v>
      </c>
      <c r="M506" s="96">
        <f t="shared" si="566"/>
        <v>0</v>
      </c>
      <c r="N506" s="688">
        <f t="shared" si="567"/>
        <v>0</v>
      </c>
      <c r="O506" s="689"/>
      <c r="Q506" s="95">
        <v>430</v>
      </c>
      <c r="R506" s="101">
        <f t="shared" si="568"/>
        <v>0</v>
      </c>
      <c r="S506" s="101">
        <f t="shared" si="569"/>
        <v>0</v>
      </c>
      <c r="T506" s="101">
        <f t="shared" si="570"/>
        <v>0</v>
      </c>
      <c r="U506" s="688">
        <f t="shared" si="571"/>
        <v>0</v>
      </c>
      <c r="V506" s="689"/>
      <c r="X506" s="95">
        <v>430</v>
      </c>
      <c r="Y506" s="101">
        <f t="shared" si="572"/>
        <v>0</v>
      </c>
      <c r="Z506" s="101">
        <f t="shared" si="573"/>
        <v>0</v>
      </c>
      <c r="AA506" s="101">
        <f t="shared" si="574"/>
        <v>0</v>
      </c>
      <c r="AB506" s="688">
        <f t="shared" si="575"/>
        <v>0</v>
      </c>
      <c r="AC506" s="689"/>
    </row>
    <row r="507" spans="3:29" x14ac:dyDescent="0.2">
      <c r="C507" s="95">
        <v>431</v>
      </c>
      <c r="D507" s="101" t="str">
        <f t="shared" si="560"/>
        <v>$0.00</v>
      </c>
      <c r="E507" s="101" t="str">
        <f t="shared" si="561"/>
        <v>$0.00</v>
      </c>
      <c r="F507" s="101" t="str">
        <f t="shared" si="562"/>
        <v>$0.00</v>
      </c>
      <c r="G507" s="688" t="str">
        <f t="shared" si="563"/>
        <v>$0.00</v>
      </c>
      <c r="H507" s="689"/>
      <c r="J507" s="95">
        <v>431</v>
      </c>
      <c r="K507" s="96">
        <f t="shared" si="564"/>
        <v>0</v>
      </c>
      <c r="L507" s="96">
        <f t="shared" si="565"/>
        <v>0</v>
      </c>
      <c r="M507" s="96">
        <f t="shared" si="566"/>
        <v>0</v>
      </c>
      <c r="N507" s="688">
        <f t="shared" si="567"/>
        <v>0</v>
      </c>
      <c r="O507" s="689"/>
      <c r="Q507" s="95">
        <v>431</v>
      </c>
      <c r="R507" s="101" t="str">
        <f t="shared" si="568"/>
        <v>$0.00</v>
      </c>
      <c r="S507" s="101" t="str">
        <f t="shared" si="569"/>
        <v>$0.00</v>
      </c>
      <c r="T507" s="101" t="str">
        <f t="shared" si="570"/>
        <v>$0.00</v>
      </c>
      <c r="U507" s="688" t="str">
        <f t="shared" si="571"/>
        <v>$0.00</v>
      </c>
      <c r="V507" s="689"/>
      <c r="X507" s="95">
        <v>431</v>
      </c>
      <c r="Y507" s="101" t="str">
        <f t="shared" si="572"/>
        <v>$0.00</v>
      </c>
      <c r="Z507" s="101" t="str">
        <f t="shared" si="573"/>
        <v>$0.00</v>
      </c>
      <c r="AA507" s="101" t="str">
        <f t="shared" si="574"/>
        <v>$0.00</v>
      </c>
      <c r="AB507" s="688" t="str">
        <f t="shared" si="575"/>
        <v>$0.00</v>
      </c>
      <c r="AC507" s="689"/>
    </row>
    <row r="508" spans="3:29" x14ac:dyDescent="0.2">
      <c r="C508" s="95">
        <v>432</v>
      </c>
      <c r="D508" s="101">
        <f t="shared" si="560"/>
        <v>0</v>
      </c>
      <c r="E508" s="101">
        <f t="shared" si="561"/>
        <v>0</v>
      </c>
      <c r="F508" s="101">
        <f t="shared" si="562"/>
        <v>0</v>
      </c>
      <c r="G508" s="690">
        <f t="shared" si="563"/>
        <v>0</v>
      </c>
      <c r="H508" s="691"/>
      <c r="J508" s="95">
        <v>432</v>
      </c>
      <c r="K508" s="96">
        <f t="shared" si="564"/>
        <v>0</v>
      </c>
      <c r="L508" s="96">
        <f t="shared" si="565"/>
        <v>0</v>
      </c>
      <c r="M508" s="96">
        <f t="shared" si="566"/>
        <v>0</v>
      </c>
      <c r="N508" s="690">
        <f t="shared" si="567"/>
        <v>0</v>
      </c>
      <c r="O508" s="691"/>
      <c r="Q508" s="95">
        <v>432</v>
      </c>
      <c r="R508" s="101">
        <f t="shared" si="568"/>
        <v>0</v>
      </c>
      <c r="S508" s="101">
        <f t="shared" si="569"/>
        <v>0</v>
      </c>
      <c r="T508" s="101">
        <f t="shared" si="570"/>
        <v>0</v>
      </c>
      <c r="U508" s="690">
        <f t="shared" si="571"/>
        <v>0</v>
      </c>
      <c r="V508" s="691"/>
      <c r="X508" s="95">
        <v>432</v>
      </c>
      <c r="Y508" s="101">
        <f t="shared" si="572"/>
        <v>0</v>
      </c>
      <c r="Z508" s="101">
        <f t="shared" si="573"/>
        <v>0</v>
      </c>
      <c r="AA508" s="101">
        <f t="shared" si="574"/>
        <v>0</v>
      </c>
      <c r="AB508" s="690">
        <f t="shared" si="575"/>
        <v>0</v>
      </c>
      <c r="AC508" s="691"/>
    </row>
    <row r="509" spans="3:29" x14ac:dyDescent="0.2">
      <c r="C509" s="97" t="s">
        <v>827</v>
      </c>
      <c r="D509" s="104">
        <f>SUM(D497:D508)</f>
        <v>0</v>
      </c>
      <c r="E509" s="104">
        <f>SUM(E497:E508)</f>
        <v>0</v>
      </c>
      <c r="F509" s="104">
        <f>SUM(F497:F508)</f>
        <v>0</v>
      </c>
      <c r="G509" s="692">
        <f>G508</f>
        <v>0</v>
      </c>
      <c r="H509" s="693"/>
      <c r="J509" s="97" t="s">
        <v>827</v>
      </c>
      <c r="K509" s="86">
        <f>SUM(K497:K508)</f>
        <v>0</v>
      </c>
      <c r="L509" s="86">
        <f>SUM(L497:L508)</f>
        <v>0</v>
      </c>
      <c r="M509" s="86">
        <f>SUM(M497:M508)</f>
        <v>0</v>
      </c>
      <c r="N509" s="692">
        <f>N508</f>
        <v>0</v>
      </c>
      <c r="O509" s="711"/>
      <c r="Q509" s="97" t="s">
        <v>827</v>
      </c>
      <c r="R509" s="104">
        <f>SUM(R497:R508)</f>
        <v>0</v>
      </c>
      <c r="S509" s="104">
        <f>SUM(S497:S508)</f>
        <v>0</v>
      </c>
      <c r="T509" s="104">
        <f>SUM(T497:T508)</f>
        <v>0</v>
      </c>
      <c r="U509" s="692">
        <f>U508</f>
        <v>0</v>
      </c>
      <c r="V509" s="693"/>
      <c r="X509" s="97" t="s">
        <v>827</v>
      </c>
      <c r="Y509" s="104">
        <f>SUM(Y497:Y508)</f>
        <v>0</v>
      </c>
      <c r="Z509" s="104">
        <f>SUM(Z497:Z508)</f>
        <v>0</v>
      </c>
      <c r="AA509" s="104">
        <f>SUM(AA497:AA508)</f>
        <v>0</v>
      </c>
      <c r="AB509" s="692">
        <f>AB508</f>
        <v>0</v>
      </c>
      <c r="AC509" s="693"/>
    </row>
    <row r="510" spans="3:29" x14ac:dyDescent="0.2">
      <c r="C510" s="95">
        <v>433</v>
      </c>
      <c r="D510" s="101" t="str">
        <f t="shared" ref="D510:D521" si="576">IF(G509&gt;0,G509*($E$36)/12,"$0.00")</f>
        <v>$0.00</v>
      </c>
      <c r="E510" s="101" t="str">
        <f t="shared" ref="E510:E521" si="577">IF(G509&gt;0,IF($E$38=4,"$0.00",IF($E$38=3,"$0.00",IF($E$38=2,"$0.00",+$G$39-D510))),"$0.00")</f>
        <v>$0.00</v>
      </c>
      <c r="F510" s="101" t="str">
        <f t="shared" ref="F510:F521" si="578">IF(G509=0,"$0.00",IF($E$38=4,"$0.00",IF($E$38=3,"$0.00",IF($E$38=2,D510,D510+E510))))</f>
        <v>$0.00</v>
      </c>
      <c r="G510" s="688" t="str">
        <f t="shared" ref="G510:G521" si="579">IF(G509=0,"$0.00",IF($E$38=4,G509+D510,IF($E$38=3,G509+D510,IF($E$38=2,G509,G509-E510))))</f>
        <v>$0.00</v>
      </c>
      <c r="H510" s="689"/>
      <c r="J510" s="95">
        <v>433</v>
      </c>
      <c r="K510" s="96">
        <f t="shared" ref="K510:K521" si="580">N509*($L$36)/12</f>
        <v>0</v>
      </c>
      <c r="L510" s="96">
        <f t="shared" ref="L510:L521" si="581">IF(L506=4,"$0.00",+$N$39-K510)</f>
        <v>0</v>
      </c>
      <c r="M510" s="96">
        <f t="shared" ref="M510:M521" si="582">IF(L506=4,"$0.00",K510+L510)</f>
        <v>0</v>
      </c>
      <c r="N510" s="709">
        <f t="shared" ref="N510:N521" si="583">IF(L506=4,N509+K510,N509-L510)</f>
        <v>0</v>
      </c>
      <c r="O510" s="710"/>
      <c r="Q510" s="95">
        <v>433</v>
      </c>
      <c r="R510" s="101" t="str">
        <f t="shared" ref="R510:R521" si="584">IF(U509&gt;0,U509*($S$36)/12,"$0.00")</f>
        <v>$0.00</v>
      </c>
      <c r="S510" s="101" t="str">
        <f t="shared" ref="S510:S521" si="585">IF(U509&gt;0,IF($S$38=4,"$0.00",IF($S$38=3,"$0.00",IF($S$38=2,"$0.00",+$U$39-R510))),"$0.00")</f>
        <v>$0.00</v>
      </c>
      <c r="T510" s="101" t="str">
        <f t="shared" ref="T510:T521" si="586">IF(U509=0,"$0.00",IF($S$38=4,"$0.00",IF($S$38=3,"$0.00",IF($S$38=2,R510,R510+S510))))</f>
        <v>$0.00</v>
      </c>
      <c r="U510" s="688" t="str">
        <f t="shared" ref="U510:U521" si="587">IF(U509=0,"$0.00",IF($S$38=4,U509+R510,IF($S$38=3,U509+R510,IF($S$38=2,U509,U509-S510))))</f>
        <v>$0.00</v>
      </c>
      <c r="V510" s="689"/>
      <c r="X510" s="95">
        <v>433</v>
      </c>
      <c r="Y510" s="101" t="str">
        <f t="shared" ref="Y510:Y521" si="588">IF(AB509&gt;0,AB509*($Z$36)/12,"$0.00")</f>
        <v>$0.00</v>
      </c>
      <c r="Z510" s="101" t="str">
        <f t="shared" ref="Z510:Z521" si="589">IF(AB509&gt;0,IF($Z$38=4,"$0.00",IF($Z$38=3,"$0.00",IF($Z$38=2,"$0.00",+$AB$39-Y510))),"$0.00")</f>
        <v>$0.00</v>
      </c>
      <c r="AA510" s="101" t="str">
        <f t="shared" ref="AA510:AA521" si="590">IF(AB509=0,"$0.00",IF($Z$38=4,"$0.00",IF($Z$38=3,"$0.00",IF($Z$38=2,Y510,Y510+Z510))))</f>
        <v>$0.00</v>
      </c>
      <c r="AB510" s="688" t="str">
        <f t="shared" ref="AB510:AB521" si="591">IF(AB509=0,"$0.00",IF($Z$38=4,AB509+Y510,IF($Z$38=3,AB509+Y510,IF($Z$38=2,AB509,AB509-Z510))))</f>
        <v>$0.00</v>
      </c>
      <c r="AC510" s="689"/>
    </row>
    <row r="511" spans="3:29" x14ac:dyDescent="0.2">
      <c r="C511" s="95">
        <v>434</v>
      </c>
      <c r="D511" s="101">
        <f t="shared" si="576"/>
        <v>0</v>
      </c>
      <c r="E511" s="101">
        <f t="shared" si="577"/>
        <v>0</v>
      </c>
      <c r="F511" s="101">
        <f t="shared" si="578"/>
        <v>0</v>
      </c>
      <c r="G511" s="688">
        <f t="shared" si="579"/>
        <v>0</v>
      </c>
      <c r="H511" s="689"/>
      <c r="J511" s="95">
        <v>434</v>
      </c>
      <c r="K511" s="96">
        <f t="shared" si="580"/>
        <v>0</v>
      </c>
      <c r="L511" s="96">
        <f t="shared" si="581"/>
        <v>0</v>
      </c>
      <c r="M511" s="96">
        <f t="shared" si="582"/>
        <v>0</v>
      </c>
      <c r="N511" s="688">
        <f t="shared" si="583"/>
        <v>0</v>
      </c>
      <c r="O511" s="689"/>
      <c r="Q511" s="95">
        <v>434</v>
      </c>
      <c r="R511" s="101">
        <f t="shared" si="584"/>
        <v>0</v>
      </c>
      <c r="S511" s="101">
        <f t="shared" si="585"/>
        <v>0</v>
      </c>
      <c r="T511" s="101">
        <f t="shared" si="586"/>
        <v>0</v>
      </c>
      <c r="U511" s="688">
        <f t="shared" si="587"/>
        <v>0</v>
      </c>
      <c r="V511" s="689"/>
      <c r="X511" s="95">
        <v>434</v>
      </c>
      <c r="Y511" s="101">
        <f t="shared" si="588"/>
        <v>0</v>
      </c>
      <c r="Z511" s="101">
        <f t="shared" si="589"/>
        <v>0</v>
      </c>
      <c r="AA511" s="101">
        <f t="shared" si="590"/>
        <v>0</v>
      </c>
      <c r="AB511" s="688">
        <f t="shared" si="591"/>
        <v>0</v>
      </c>
      <c r="AC511" s="689"/>
    </row>
    <row r="512" spans="3:29" x14ac:dyDescent="0.2">
      <c r="C512" s="95">
        <v>435</v>
      </c>
      <c r="D512" s="101" t="str">
        <f t="shared" si="576"/>
        <v>$0.00</v>
      </c>
      <c r="E512" s="101" t="str">
        <f t="shared" si="577"/>
        <v>$0.00</v>
      </c>
      <c r="F512" s="101" t="str">
        <f t="shared" si="578"/>
        <v>$0.00</v>
      </c>
      <c r="G512" s="688" t="str">
        <f t="shared" si="579"/>
        <v>$0.00</v>
      </c>
      <c r="H512" s="689"/>
      <c r="J512" s="95">
        <v>435</v>
      </c>
      <c r="K512" s="96">
        <f t="shared" si="580"/>
        <v>0</v>
      </c>
      <c r="L512" s="96">
        <f t="shared" si="581"/>
        <v>0</v>
      </c>
      <c r="M512" s="96">
        <f t="shared" si="582"/>
        <v>0</v>
      </c>
      <c r="N512" s="688">
        <f t="shared" si="583"/>
        <v>0</v>
      </c>
      <c r="O512" s="689"/>
      <c r="Q512" s="95">
        <v>435</v>
      </c>
      <c r="R512" s="101" t="str">
        <f t="shared" si="584"/>
        <v>$0.00</v>
      </c>
      <c r="S512" s="101" t="str">
        <f t="shared" si="585"/>
        <v>$0.00</v>
      </c>
      <c r="T512" s="101" t="str">
        <f t="shared" si="586"/>
        <v>$0.00</v>
      </c>
      <c r="U512" s="688" t="str">
        <f t="shared" si="587"/>
        <v>$0.00</v>
      </c>
      <c r="V512" s="689"/>
      <c r="X512" s="95">
        <v>435</v>
      </c>
      <c r="Y512" s="101" t="str">
        <f t="shared" si="588"/>
        <v>$0.00</v>
      </c>
      <c r="Z512" s="101" t="str">
        <f t="shared" si="589"/>
        <v>$0.00</v>
      </c>
      <c r="AA512" s="101" t="str">
        <f t="shared" si="590"/>
        <v>$0.00</v>
      </c>
      <c r="AB512" s="688" t="str">
        <f t="shared" si="591"/>
        <v>$0.00</v>
      </c>
      <c r="AC512" s="689"/>
    </row>
    <row r="513" spans="3:29" x14ac:dyDescent="0.2">
      <c r="C513" s="95">
        <v>436</v>
      </c>
      <c r="D513" s="101">
        <f t="shared" si="576"/>
        <v>0</v>
      </c>
      <c r="E513" s="101">
        <f t="shared" si="577"/>
        <v>0</v>
      </c>
      <c r="F513" s="101">
        <f t="shared" si="578"/>
        <v>0</v>
      </c>
      <c r="G513" s="688">
        <f t="shared" si="579"/>
        <v>0</v>
      </c>
      <c r="H513" s="689"/>
      <c r="J513" s="95">
        <v>436</v>
      </c>
      <c r="K513" s="96">
        <f t="shared" si="580"/>
        <v>0</v>
      </c>
      <c r="L513" s="96">
        <f t="shared" si="581"/>
        <v>0</v>
      </c>
      <c r="M513" s="96">
        <f t="shared" si="582"/>
        <v>0</v>
      </c>
      <c r="N513" s="688">
        <f t="shared" si="583"/>
        <v>0</v>
      </c>
      <c r="O513" s="689"/>
      <c r="Q513" s="95">
        <v>436</v>
      </c>
      <c r="R513" s="101">
        <f t="shared" si="584"/>
        <v>0</v>
      </c>
      <c r="S513" s="101">
        <f t="shared" si="585"/>
        <v>0</v>
      </c>
      <c r="T513" s="101">
        <f t="shared" si="586"/>
        <v>0</v>
      </c>
      <c r="U513" s="688">
        <f t="shared" si="587"/>
        <v>0</v>
      </c>
      <c r="V513" s="689"/>
      <c r="X513" s="95">
        <v>436</v>
      </c>
      <c r="Y513" s="101">
        <f t="shared" si="588"/>
        <v>0</v>
      </c>
      <c r="Z513" s="101">
        <f t="shared" si="589"/>
        <v>0</v>
      </c>
      <c r="AA513" s="101">
        <f t="shared" si="590"/>
        <v>0</v>
      </c>
      <c r="AB513" s="688">
        <f t="shared" si="591"/>
        <v>0</v>
      </c>
      <c r="AC513" s="689"/>
    </row>
    <row r="514" spans="3:29" x14ac:dyDescent="0.2">
      <c r="C514" s="95">
        <v>437</v>
      </c>
      <c r="D514" s="101" t="str">
        <f t="shared" si="576"/>
        <v>$0.00</v>
      </c>
      <c r="E514" s="101" t="str">
        <f t="shared" si="577"/>
        <v>$0.00</v>
      </c>
      <c r="F514" s="101" t="str">
        <f t="shared" si="578"/>
        <v>$0.00</v>
      </c>
      <c r="G514" s="688" t="str">
        <f t="shared" si="579"/>
        <v>$0.00</v>
      </c>
      <c r="H514" s="689"/>
      <c r="J514" s="95">
        <v>437</v>
      </c>
      <c r="K514" s="96">
        <f t="shared" si="580"/>
        <v>0</v>
      </c>
      <c r="L514" s="96">
        <f t="shared" si="581"/>
        <v>0</v>
      </c>
      <c r="M514" s="96">
        <f t="shared" si="582"/>
        <v>0</v>
      </c>
      <c r="N514" s="688">
        <f t="shared" si="583"/>
        <v>0</v>
      </c>
      <c r="O514" s="689"/>
      <c r="Q514" s="95">
        <v>437</v>
      </c>
      <c r="R514" s="101" t="str">
        <f t="shared" si="584"/>
        <v>$0.00</v>
      </c>
      <c r="S514" s="101" t="str">
        <f t="shared" si="585"/>
        <v>$0.00</v>
      </c>
      <c r="T514" s="101" t="str">
        <f t="shared" si="586"/>
        <v>$0.00</v>
      </c>
      <c r="U514" s="688" t="str">
        <f t="shared" si="587"/>
        <v>$0.00</v>
      </c>
      <c r="V514" s="689"/>
      <c r="X514" s="95">
        <v>437</v>
      </c>
      <c r="Y514" s="101" t="str">
        <f t="shared" si="588"/>
        <v>$0.00</v>
      </c>
      <c r="Z514" s="101" t="str">
        <f t="shared" si="589"/>
        <v>$0.00</v>
      </c>
      <c r="AA514" s="101" t="str">
        <f t="shared" si="590"/>
        <v>$0.00</v>
      </c>
      <c r="AB514" s="688" t="str">
        <f t="shared" si="591"/>
        <v>$0.00</v>
      </c>
      <c r="AC514" s="689"/>
    </row>
    <row r="515" spans="3:29" x14ac:dyDescent="0.2">
      <c r="C515" s="95">
        <v>438</v>
      </c>
      <c r="D515" s="101">
        <f t="shared" si="576"/>
        <v>0</v>
      </c>
      <c r="E515" s="101">
        <f t="shared" si="577"/>
        <v>0</v>
      </c>
      <c r="F515" s="101">
        <f t="shared" si="578"/>
        <v>0</v>
      </c>
      <c r="G515" s="688">
        <f t="shared" si="579"/>
        <v>0</v>
      </c>
      <c r="H515" s="689"/>
      <c r="J515" s="95">
        <v>438</v>
      </c>
      <c r="K515" s="96">
        <f t="shared" si="580"/>
        <v>0</v>
      </c>
      <c r="L515" s="96">
        <f t="shared" si="581"/>
        <v>0</v>
      </c>
      <c r="M515" s="96">
        <f t="shared" si="582"/>
        <v>0</v>
      </c>
      <c r="N515" s="688">
        <f t="shared" si="583"/>
        <v>0</v>
      </c>
      <c r="O515" s="689"/>
      <c r="Q515" s="95">
        <v>438</v>
      </c>
      <c r="R515" s="101">
        <f t="shared" si="584"/>
        <v>0</v>
      </c>
      <c r="S515" s="101">
        <f t="shared" si="585"/>
        <v>0</v>
      </c>
      <c r="T515" s="101">
        <f t="shared" si="586"/>
        <v>0</v>
      </c>
      <c r="U515" s="688">
        <f t="shared" si="587"/>
        <v>0</v>
      </c>
      <c r="V515" s="689"/>
      <c r="X515" s="95">
        <v>438</v>
      </c>
      <c r="Y515" s="101">
        <f t="shared" si="588"/>
        <v>0</v>
      </c>
      <c r="Z515" s="101">
        <f t="shared" si="589"/>
        <v>0</v>
      </c>
      <c r="AA515" s="101">
        <f t="shared" si="590"/>
        <v>0</v>
      </c>
      <c r="AB515" s="688">
        <f t="shared" si="591"/>
        <v>0</v>
      </c>
      <c r="AC515" s="689"/>
    </row>
    <row r="516" spans="3:29" x14ac:dyDescent="0.2">
      <c r="C516" s="95">
        <v>439</v>
      </c>
      <c r="D516" s="101" t="str">
        <f t="shared" si="576"/>
        <v>$0.00</v>
      </c>
      <c r="E516" s="101" t="str">
        <f t="shared" si="577"/>
        <v>$0.00</v>
      </c>
      <c r="F516" s="101" t="str">
        <f t="shared" si="578"/>
        <v>$0.00</v>
      </c>
      <c r="G516" s="688" t="str">
        <f t="shared" si="579"/>
        <v>$0.00</v>
      </c>
      <c r="H516" s="689"/>
      <c r="J516" s="95">
        <v>439</v>
      </c>
      <c r="K516" s="96">
        <f t="shared" si="580"/>
        <v>0</v>
      </c>
      <c r="L516" s="96">
        <f t="shared" si="581"/>
        <v>0</v>
      </c>
      <c r="M516" s="96">
        <f t="shared" si="582"/>
        <v>0</v>
      </c>
      <c r="N516" s="688">
        <f t="shared" si="583"/>
        <v>0</v>
      </c>
      <c r="O516" s="689"/>
      <c r="Q516" s="95">
        <v>439</v>
      </c>
      <c r="R516" s="101" t="str">
        <f t="shared" si="584"/>
        <v>$0.00</v>
      </c>
      <c r="S516" s="101" t="str">
        <f t="shared" si="585"/>
        <v>$0.00</v>
      </c>
      <c r="T516" s="101" t="str">
        <f t="shared" si="586"/>
        <v>$0.00</v>
      </c>
      <c r="U516" s="688" t="str">
        <f t="shared" si="587"/>
        <v>$0.00</v>
      </c>
      <c r="V516" s="689"/>
      <c r="X516" s="95">
        <v>439</v>
      </c>
      <c r="Y516" s="101" t="str">
        <f t="shared" si="588"/>
        <v>$0.00</v>
      </c>
      <c r="Z516" s="101" t="str">
        <f t="shared" si="589"/>
        <v>$0.00</v>
      </c>
      <c r="AA516" s="101" t="str">
        <f t="shared" si="590"/>
        <v>$0.00</v>
      </c>
      <c r="AB516" s="688" t="str">
        <f t="shared" si="591"/>
        <v>$0.00</v>
      </c>
      <c r="AC516" s="689"/>
    </row>
    <row r="517" spans="3:29" x14ac:dyDescent="0.2">
      <c r="C517" s="95">
        <v>440</v>
      </c>
      <c r="D517" s="101">
        <f t="shared" si="576"/>
        <v>0</v>
      </c>
      <c r="E517" s="101">
        <f t="shared" si="577"/>
        <v>0</v>
      </c>
      <c r="F517" s="101">
        <f t="shared" si="578"/>
        <v>0</v>
      </c>
      <c r="G517" s="688">
        <f t="shared" si="579"/>
        <v>0</v>
      </c>
      <c r="H517" s="689"/>
      <c r="J517" s="95">
        <v>440</v>
      </c>
      <c r="K517" s="96">
        <f t="shared" si="580"/>
        <v>0</v>
      </c>
      <c r="L517" s="96">
        <f t="shared" si="581"/>
        <v>0</v>
      </c>
      <c r="M517" s="96">
        <f t="shared" si="582"/>
        <v>0</v>
      </c>
      <c r="N517" s="688">
        <f t="shared" si="583"/>
        <v>0</v>
      </c>
      <c r="O517" s="689"/>
      <c r="Q517" s="95">
        <v>440</v>
      </c>
      <c r="R517" s="101">
        <f t="shared" si="584"/>
        <v>0</v>
      </c>
      <c r="S517" s="101">
        <f t="shared" si="585"/>
        <v>0</v>
      </c>
      <c r="T517" s="101">
        <f t="shared" si="586"/>
        <v>0</v>
      </c>
      <c r="U517" s="688">
        <f t="shared" si="587"/>
        <v>0</v>
      </c>
      <c r="V517" s="689"/>
      <c r="X517" s="95">
        <v>440</v>
      </c>
      <c r="Y517" s="101">
        <f t="shared" si="588"/>
        <v>0</v>
      </c>
      <c r="Z517" s="101">
        <f t="shared" si="589"/>
        <v>0</v>
      </c>
      <c r="AA517" s="101">
        <f t="shared" si="590"/>
        <v>0</v>
      </c>
      <c r="AB517" s="688">
        <f t="shared" si="591"/>
        <v>0</v>
      </c>
      <c r="AC517" s="689"/>
    </row>
    <row r="518" spans="3:29" x14ac:dyDescent="0.2">
      <c r="C518" s="95">
        <v>441</v>
      </c>
      <c r="D518" s="101" t="str">
        <f t="shared" si="576"/>
        <v>$0.00</v>
      </c>
      <c r="E518" s="101" t="str">
        <f t="shared" si="577"/>
        <v>$0.00</v>
      </c>
      <c r="F518" s="101" t="str">
        <f t="shared" si="578"/>
        <v>$0.00</v>
      </c>
      <c r="G518" s="688" t="str">
        <f t="shared" si="579"/>
        <v>$0.00</v>
      </c>
      <c r="H518" s="689"/>
      <c r="J518" s="95">
        <v>441</v>
      </c>
      <c r="K518" s="96">
        <f t="shared" si="580"/>
        <v>0</v>
      </c>
      <c r="L518" s="96">
        <f t="shared" si="581"/>
        <v>0</v>
      </c>
      <c r="M518" s="96">
        <f t="shared" si="582"/>
        <v>0</v>
      </c>
      <c r="N518" s="688">
        <f t="shared" si="583"/>
        <v>0</v>
      </c>
      <c r="O518" s="689"/>
      <c r="Q518" s="95">
        <v>441</v>
      </c>
      <c r="R518" s="101" t="str">
        <f t="shared" si="584"/>
        <v>$0.00</v>
      </c>
      <c r="S518" s="101" t="str">
        <f t="shared" si="585"/>
        <v>$0.00</v>
      </c>
      <c r="T518" s="101" t="str">
        <f t="shared" si="586"/>
        <v>$0.00</v>
      </c>
      <c r="U518" s="688" t="str">
        <f t="shared" si="587"/>
        <v>$0.00</v>
      </c>
      <c r="V518" s="689"/>
      <c r="X518" s="95">
        <v>441</v>
      </c>
      <c r="Y518" s="101" t="str">
        <f t="shared" si="588"/>
        <v>$0.00</v>
      </c>
      <c r="Z518" s="101" t="str">
        <f t="shared" si="589"/>
        <v>$0.00</v>
      </c>
      <c r="AA518" s="101" t="str">
        <f t="shared" si="590"/>
        <v>$0.00</v>
      </c>
      <c r="AB518" s="688" t="str">
        <f t="shared" si="591"/>
        <v>$0.00</v>
      </c>
      <c r="AC518" s="689"/>
    </row>
    <row r="519" spans="3:29" x14ac:dyDescent="0.2">
      <c r="C519" s="95">
        <v>442</v>
      </c>
      <c r="D519" s="101">
        <f t="shared" si="576"/>
        <v>0</v>
      </c>
      <c r="E519" s="101">
        <f t="shared" si="577"/>
        <v>0</v>
      </c>
      <c r="F519" s="101">
        <f t="shared" si="578"/>
        <v>0</v>
      </c>
      <c r="G519" s="688">
        <f t="shared" si="579"/>
        <v>0</v>
      </c>
      <c r="H519" s="689"/>
      <c r="J519" s="95">
        <v>442</v>
      </c>
      <c r="K519" s="96">
        <f t="shared" si="580"/>
        <v>0</v>
      </c>
      <c r="L519" s="96">
        <f t="shared" si="581"/>
        <v>0</v>
      </c>
      <c r="M519" s="96">
        <f t="shared" si="582"/>
        <v>0</v>
      </c>
      <c r="N519" s="688">
        <f t="shared" si="583"/>
        <v>0</v>
      </c>
      <c r="O519" s="689"/>
      <c r="Q519" s="95">
        <v>442</v>
      </c>
      <c r="R519" s="101">
        <f t="shared" si="584"/>
        <v>0</v>
      </c>
      <c r="S519" s="101">
        <f t="shared" si="585"/>
        <v>0</v>
      </c>
      <c r="T519" s="101">
        <f t="shared" si="586"/>
        <v>0</v>
      </c>
      <c r="U519" s="688">
        <f t="shared" si="587"/>
        <v>0</v>
      </c>
      <c r="V519" s="689"/>
      <c r="X519" s="95">
        <v>442</v>
      </c>
      <c r="Y519" s="101">
        <f t="shared" si="588"/>
        <v>0</v>
      </c>
      <c r="Z519" s="101">
        <f t="shared" si="589"/>
        <v>0</v>
      </c>
      <c r="AA519" s="101">
        <f t="shared" si="590"/>
        <v>0</v>
      </c>
      <c r="AB519" s="688">
        <f t="shared" si="591"/>
        <v>0</v>
      </c>
      <c r="AC519" s="689"/>
    </row>
    <row r="520" spans="3:29" x14ac:dyDescent="0.2">
      <c r="C520" s="95">
        <v>443</v>
      </c>
      <c r="D520" s="101" t="str">
        <f t="shared" si="576"/>
        <v>$0.00</v>
      </c>
      <c r="E520" s="101" t="str">
        <f t="shared" si="577"/>
        <v>$0.00</v>
      </c>
      <c r="F520" s="101" t="str">
        <f t="shared" si="578"/>
        <v>$0.00</v>
      </c>
      <c r="G520" s="688" t="str">
        <f t="shared" si="579"/>
        <v>$0.00</v>
      </c>
      <c r="H520" s="689"/>
      <c r="J520" s="95">
        <v>443</v>
      </c>
      <c r="K520" s="96">
        <f t="shared" si="580"/>
        <v>0</v>
      </c>
      <c r="L520" s="96">
        <f t="shared" si="581"/>
        <v>0</v>
      </c>
      <c r="M520" s="96">
        <f t="shared" si="582"/>
        <v>0</v>
      </c>
      <c r="N520" s="688">
        <f t="shared" si="583"/>
        <v>0</v>
      </c>
      <c r="O520" s="689"/>
      <c r="Q520" s="95">
        <v>443</v>
      </c>
      <c r="R520" s="101" t="str">
        <f t="shared" si="584"/>
        <v>$0.00</v>
      </c>
      <c r="S520" s="101" t="str">
        <f t="shared" si="585"/>
        <v>$0.00</v>
      </c>
      <c r="T520" s="101" t="str">
        <f t="shared" si="586"/>
        <v>$0.00</v>
      </c>
      <c r="U520" s="688" t="str">
        <f t="shared" si="587"/>
        <v>$0.00</v>
      </c>
      <c r="V520" s="689"/>
      <c r="X520" s="95">
        <v>443</v>
      </c>
      <c r="Y520" s="101" t="str">
        <f t="shared" si="588"/>
        <v>$0.00</v>
      </c>
      <c r="Z520" s="101" t="str">
        <f t="shared" si="589"/>
        <v>$0.00</v>
      </c>
      <c r="AA520" s="101" t="str">
        <f t="shared" si="590"/>
        <v>$0.00</v>
      </c>
      <c r="AB520" s="688" t="str">
        <f t="shared" si="591"/>
        <v>$0.00</v>
      </c>
      <c r="AC520" s="689"/>
    </row>
    <row r="521" spans="3:29" x14ac:dyDescent="0.2">
      <c r="C521" s="95">
        <v>444</v>
      </c>
      <c r="D521" s="101">
        <f t="shared" si="576"/>
        <v>0</v>
      </c>
      <c r="E521" s="101">
        <f t="shared" si="577"/>
        <v>0</v>
      </c>
      <c r="F521" s="101">
        <f t="shared" si="578"/>
        <v>0</v>
      </c>
      <c r="G521" s="690">
        <f t="shared" si="579"/>
        <v>0</v>
      </c>
      <c r="H521" s="691"/>
      <c r="J521" s="95">
        <v>444</v>
      </c>
      <c r="K521" s="96">
        <f t="shared" si="580"/>
        <v>0</v>
      </c>
      <c r="L521" s="96">
        <f t="shared" si="581"/>
        <v>0</v>
      </c>
      <c r="M521" s="96">
        <f t="shared" si="582"/>
        <v>0</v>
      </c>
      <c r="N521" s="690">
        <f t="shared" si="583"/>
        <v>0</v>
      </c>
      <c r="O521" s="691"/>
      <c r="Q521" s="95">
        <v>444</v>
      </c>
      <c r="R521" s="101">
        <f t="shared" si="584"/>
        <v>0</v>
      </c>
      <c r="S521" s="101">
        <f t="shared" si="585"/>
        <v>0</v>
      </c>
      <c r="T521" s="101">
        <f t="shared" si="586"/>
        <v>0</v>
      </c>
      <c r="U521" s="690">
        <f t="shared" si="587"/>
        <v>0</v>
      </c>
      <c r="V521" s="691"/>
      <c r="X521" s="95">
        <v>444</v>
      </c>
      <c r="Y521" s="101">
        <f t="shared" si="588"/>
        <v>0</v>
      </c>
      <c r="Z521" s="101">
        <f t="shared" si="589"/>
        <v>0</v>
      </c>
      <c r="AA521" s="101">
        <f t="shared" si="590"/>
        <v>0</v>
      </c>
      <c r="AB521" s="690">
        <f t="shared" si="591"/>
        <v>0</v>
      </c>
      <c r="AC521" s="691"/>
    </row>
    <row r="522" spans="3:29" x14ac:dyDescent="0.2">
      <c r="C522" s="97" t="s">
        <v>828</v>
      </c>
      <c r="D522" s="104">
        <f>SUM(D510:D521)</f>
        <v>0</v>
      </c>
      <c r="E522" s="104">
        <f>SUM(E510:E521)</f>
        <v>0</v>
      </c>
      <c r="F522" s="104">
        <f>SUM(F510:F521)</f>
        <v>0</v>
      </c>
      <c r="G522" s="692">
        <f>G521</f>
        <v>0</v>
      </c>
      <c r="H522" s="693"/>
      <c r="J522" s="97" t="s">
        <v>828</v>
      </c>
      <c r="K522" s="86">
        <f>SUM(K510:K521)</f>
        <v>0</v>
      </c>
      <c r="L522" s="86">
        <f>SUM(L510:L521)</f>
        <v>0</v>
      </c>
      <c r="M522" s="86">
        <f>SUM(M510:M521)</f>
        <v>0</v>
      </c>
      <c r="N522" s="692">
        <f>N521</f>
        <v>0</v>
      </c>
      <c r="O522" s="711"/>
      <c r="Q522" s="97" t="s">
        <v>828</v>
      </c>
      <c r="R522" s="104">
        <f>SUM(R510:R521)</f>
        <v>0</v>
      </c>
      <c r="S522" s="104">
        <f>SUM(S510:S521)</f>
        <v>0</v>
      </c>
      <c r="T522" s="104">
        <f>SUM(T510:T521)</f>
        <v>0</v>
      </c>
      <c r="U522" s="692">
        <f>U521</f>
        <v>0</v>
      </c>
      <c r="V522" s="693"/>
      <c r="X522" s="97" t="s">
        <v>828</v>
      </c>
      <c r="Y522" s="104">
        <f>SUM(Y510:Y521)</f>
        <v>0</v>
      </c>
      <c r="Z522" s="104">
        <f>SUM(Z510:Z521)</f>
        <v>0</v>
      </c>
      <c r="AA522" s="104">
        <f>SUM(AA510:AA521)</f>
        <v>0</v>
      </c>
      <c r="AB522" s="692">
        <f>AB521</f>
        <v>0</v>
      </c>
      <c r="AC522" s="693"/>
    </row>
    <row r="523" spans="3:29" x14ac:dyDescent="0.2">
      <c r="C523" s="95">
        <v>445</v>
      </c>
      <c r="D523" s="101" t="str">
        <f t="shared" ref="D523:D534" si="592">IF(G522&gt;0,G522*($E$36)/12,"$0.00")</f>
        <v>$0.00</v>
      </c>
      <c r="E523" s="101" t="str">
        <f t="shared" ref="E523:E534" si="593">IF(G522&gt;0,IF($E$38=4,"$0.00",IF($E$38=3,"$0.00",IF($E$38=2,"$0.00",+$G$39-D523))),"$0.00")</f>
        <v>$0.00</v>
      </c>
      <c r="F523" s="101" t="str">
        <f t="shared" ref="F523:F534" si="594">IF(G522=0,"$0.00",IF($E$38=4,"$0.00",IF($E$38=3,"$0.00",IF($E$38=2,D523,D523+E523))))</f>
        <v>$0.00</v>
      </c>
      <c r="G523" s="688" t="str">
        <f t="shared" ref="G523:G534" si="595">IF(G522=0,"$0.00",IF($E$38=4,G522+D523,IF($E$38=3,G522+D523,IF($E$38=2,G522,G522-E523))))</f>
        <v>$0.00</v>
      </c>
      <c r="H523" s="689"/>
      <c r="J523" s="95">
        <v>445</v>
      </c>
      <c r="K523" s="96">
        <f t="shared" ref="K523:K534" si="596">N522*($L$36)/12</f>
        <v>0</v>
      </c>
      <c r="L523" s="96">
        <f t="shared" ref="L523:L534" si="597">IF(L519=4,"$0.00",+$N$39-K523)</f>
        <v>0</v>
      </c>
      <c r="M523" s="96">
        <f t="shared" ref="M523:M534" si="598">IF(L519=4,"$0.00",K523+L523)</f>
        <v>0</v>
      </c>
      <c r="N523" s="709">
        <f t="shared" ref="N523:N534" si="599">IF(L519=4,N522+K523,N522-L523)</f>
        <v>0</v>
      </c>
      <c r="O523" s="710"/>
      <c r="Q523" s="95">
        <v>445</v>
      </c>
      <c r="R523" s="101" t="str">
        <f t="shared" ref="R523:R534" si="600">IF(U522&gt;0,U522*($S$36)/12,"$0.00")</f>
        <v>$0.00</v>
      </c>
      <c r="S523" s="101" t="str">
        <f t="shared" ref="S523:S534" si="601">IF(U522&gt;0,IF($S$38=4,"$0.00",IF($S$38=3,"$0.00",IF($S$38=2,"$0.00",+$U$39-R523))),"$0.00")</f>
        <v>$0.00</v>
      </c>
      <c r="T523" s="101" t="str">
        <f t="shared" ref="T523:T534" si="602">IF(U522=0,"$0.00",IF($S$38=4,"$0.00",IF($S$38=3,"$0.00",IF($S$38=2,R523,R523+S523))))</f>
        <v>$0.00</v>
      </c>
      <c r="U523" s="688" t="str">
        <f t="shared" ref="U523:U534" si="603">IF(U522=0,"$0.00",IF($S$38=4,U522+R523,IF($S$38=3,U522+R523,IF($S$38=2,U522,U522-S523))))</f>
        <v>$0.00</v>
      </c>
      <c r="V523" s="689"/>
      <c r="X523" s="95">
        <v>445</v>
      </c>
      <c r="Y523" s="101" t="str">
        <f t="shared" ref="Y523:Y534" si="604">IF(AB522&gt;0,AB522*($Z$36)/12,"$0.00")</f>
        <v>$0.00</v>
      </c>
      <c r="Z523" s="101" t="str">
        <f t="shared" ref="Z523:Z534" si="605">IF(AB522&gt;0,IF($Z$38=4,"$0.00",IF($Z$38=3,"$0.00",IF($Z$38=2,"$0.00",+$AB$39-Y523))),"$0.00")</f>
        <v>$0.00</v>
      </c>
      <c r="AA523" s="101" t="str">
        <f t="shared" ref="AA523:AA534" si="606">IF(AB522=0,"$0.00",IF($Z$38=4,"$0.00",IF($Z$38=3,"$0.00",IF($Z$38=2,Y523,Y523+Z523))))</f>
        <v>$0.00</v>
      </c>
      <c r="AB523" s="688" t="str">
        <f t="shared" ref="AB523:AB534" si="607">IF(AB522=0,"$0.00",IF($Z$38=4,AB522+Y523,IF($Z$38=3,AB522+Y523,IF($Z$38=2,AB522,AB522-Z523))))</f>
        <v>$0.00</v>
      </c>
      <c r="AC523" s="689"/>
    </row>
    <row r="524" spans="3:29" x14ac:dyDescent="0.2">
      <c r="C524" s="95">
        <v>446</v>
      </c>
      <c r="D524" s="101">
        <f t="shared" si="592"/>
        <v>0</v>
      </c>
      <c r="E524" s="101">
        <f t="shared" si="593"/>
        <v>0</v>
      </c>
      <c r="F524" s="101">
        <f t="shared" si="594"/>
        <v>0</v>
      </c>
      <c r="G524" s="688">
        <f t="shared" si="595"/>
        <v>0</v>
      </c>
      <c r="H524" s="689"/>
      <c r="J524" s="95">
        <v>446</v>
      </c>
      <c r="K524" s="96">
        <f t="shared" si="596"/>
        <v>0</v>
      </c>
      <c r="L524" s="96">
        <f t="shared" si="597"/>
        <v>0</v>
      </c>
      <c r="M524" s="96">
        <f t="shared" si="598"/>
        <v>0</v>
      </c>
      <c r="N524" s="688">
        <f t="shared" si="599"/>
        <v>0</v>
      </c>
      <c r="O524" s="689"/>
      <c r="Q524" s="95">
        <v>446</v>
      </c>
      <c r="R524" s="101">
        <f t="shared" si="600"/>
        <v>0</v>
      </c>
      <c r="S524" s="101">
        <f t="shared" si="601"/>
        <v>0</v>
      </c>
      <c r="T524" s="101">
        <f t="shared" si="602"/>
        <v>0</v>
      </c>
      <c r="U524" s="688">
        <f t="shared" si="603"/>
        <v>0</v>
      </c>
      <c r="V524" s="689"/>
      <c r="X524" s="95">
        <v>446</v>
      </c>
      <c r="Y524" s="101">
        <f t="shared" si="604"/>
        <v>0</v>
      </c>
      <c r="Z524" s="101">
        <f t="shared" si="605"/>
        <v>0</v>
      </c>
      <c r="AA524" s="101">
        <f t="shared" si="606"/>
        <v>0</v>
      </c>
      <c r="AB524" s="688">
        <f t="shared" si="607"/>
        <v>0</v>
      </c>
      <c r="AC524" s="689"/>
    </row>
    <row r="525" spans="3:29" x14ac:dyDescent="0.2">
      <c r="C525" s="95">
        <v>447</v>
      </c>
      <c r="D525" s="101" t="str">
        <f t="shared" si="592"/>
        <v>$0.00</v>
      </c>
      <c r="E525" s="101" t="str">
        <f t="shared" si="593"/>
        <v>$0.00</v>
      </c>
      <c r="F525" s="101" t="str">
        <f t="shared" si="594"/>
        <v>$0.00</v>
      </c>
      <c r="G525" s="688" t="str">
        <f t="shared" si="595"/>
        <v>$0.00</v>
      </c>
      <c r="H525" s="689"/>
      <c r="J525" s="95">
        <v>447</v>
      </c>
      <c r="K525" s="96">
        <f t="shared" si="596"/>
        <v>0</v>
      </c>
      <c r="L525" s="96">
        <f t="shared" si="597"/>
        <v>0</v>
      </c>
      <c r="M525" s="96">
        <f t="shared" si="598"/>
        <v>0</v>
      </c>
      <c r="N525" s="688">
        <f t="shared" si="599"/>
        <v>0</v>
      </c>
      <c r="O525" s="689"/>
      <c r="Q525" s="95">
        <v>447</v>
      </c>
      <c r="R525" s="101" t="str">
        <f t="shared" si="600"/>
        <v>$0.00</v>
      </c>
      <c r="S525" s="101" t="str">
        <f t="shared" si="601"/>
        <v>$0.00</v>
      </c>
      <c r="T525" s="101" t="str">
        <f t="shared" si="602"/>
        <v>$0.00</v>
      </c>
      <c r="U525" s="688" t="str">
        <f t="shared" si="603"/>
        <v>$0.00</v>
      </c>
      <c r="V525" s="689"/>
      <c r="X525" s="95">
        <v>447</v>
      </c>
      <c r="Y525" s="101" t="str">
        <f t="shared" si="604"/>
        <v>$0.00</v>
      </c>
      <c r="Z525" s="101" t="str">
        <f t="shared" si="605"/>
        <v>$0.00</v>
      </c>
      <c r="AA525" s="101" t="str">
        <f t="shared" si="606"/>
        <v>$0.00</v>
      </c>
      <c r="AB525" s="688" t="str">
        <f t="shared" si="607"/>
        <v>$0.00</v>
      </c>
      <c r="AC525" s="689"/>
    </row>
    <row r="526" spans="3:29" x14ac:dyDescent="0.2">
      <c r="C526" s="95">
        <v>448</v>
      </c>
      <c r="D526" s="101">
        <f t="shared" si="592"/>
        <v>0</v>
      </c>
      <c r="E526" s="101">
        <f t="shared" si="593"/>
        <v>0</v>
      </c>
      <c r="F526" s="101">
        <f t="shared" si="594"/>
        <v>0</v>
      </c>
      <c r="G526" s="688">
        <f t="shared" si="595"/>
        <v>0</v>
      </c>
      <c r="H526" s="689"/>
      <c r="J526" s="95">
        <v>448</v>
      </c>
      <c r="K526" s="96">
        <f t="shared" si="596"/>
        <v>0</v>
      </c>
      <c r="L526" s="96">
        <f t="shared" si="597"/>
        <v>0</v>
      </c>
      <c r="M526" s="96">
        <f t="shared" si="598"/>
        <v>0</v>
      </c>
      <c r="N526" s="688">
        <f t="shared" si="599"/>
        <v>0</v>
      </c>
      <c r="O526" s="689"/>
      <c r="Q526" s="95">
        <v>448</v>
      </c>
      <c r="R526" s="101">
        <f t="shared" si="600"/>
        <v>0</v>
      </c>
      <c r="S526" s="101">
        <f t="shared" si="601"/>
        <v>0</v>
      </c>
      <c r="T526" s="101">
        <f t="shared" si="602"/>
        <v>0</v>
      </c>
      <c r="U526" s="688">
        <f t="shared" si="603"/>
        <v>0</v>
      </c>
      <c r="V526" s="689"/>
      <c r="X526" s="95">
        <v>448</v>
      </c>
      <c r="Y526" s="101">
        <f t="shared" si="604"/>
        <v>0</v>
      </c>
      <c r="Z526" s="101">
        <f t="shared" si="605"/>
        <v>0</v>
      </c>
      <c r="AA526" s="101">
        <f t="shared" si="606"/>
        <v>0</v>
      </c>
      <c r="AB526" s="688">
        <f t="shared" si="607"/>
        <v>0</v>
      </c>
      <c r="AC526" s="689"/>
    </row>
    <row r="527" spans="3:29" x14ac:dyDescent="0.2">
      <c r="C527" s="95">
        <v>449</v>
      </c>
      <c r="D527" s="101" t="str">
        <f t="shared" si="592"/>
        <v>$0.00</v>
      </c>
      <c r="E527" s="101" t="str">
        <f t="shared" si="593"/>
        <v>$0.00</v>
      </c>
      <c r="F527" s="101" t="str">
        <f t="shared" si="594"/>
        <v>$0.00</v>
      </c>
      <c r="G527" s="688" t="str">
        <f t="shared" si="595"/>
        <v>$0.00</v>
      </c>
      <c r="H527" s="689"/>
      <c r="J527" s="95">
        <v>449</v>
      </c>
      <c r="K527" s="96">
        <f t="shared" si="596"/>
        <v>0</v>
      </c>
      <c r="L527" s="96">
        <f t="shared" si="597"/>
        <v>0</v>
      </c>
      <c r="M527" s="96">
        <f t="shared" si="598"/>
        <v>0</v>
      </c>
      <c r="N527" s="688">
        <f t="shared" si="599"/>
        <v>0</v>
      </c>
      <c r="O527" s="689"/>
      <c r="Q527" s="95">
        <v>449</v>
      </c>
      <c r="R527" s="101" t="str">
        <f t="shared" si="600"/>
        <v>$0.00</v>
      </c>
      <c r="S527" s="101" t="str">
        <f t="shared" si="601"/>
        <v>$0.00</v>
      </c>
      <c r="T527" s="101" t="str">
        <f t="shared" si="602"/>
        <v>$0.00</v>
      </c>
      <c r="U527" s="688" t="str">
        <f t="shared" si="603"/>
        <v>$0.00</v>
      </c>
      <c r="V527" s="689"/>
      <c r="X527" s="95">
        <v>449</v>
      </c>
      <c r="Y527" s="101" t="str">
        <f t="shared" si="604"/>
        <v>$0.00</v>
      </c>
      <c r="Z527" s="101" t="str">
        <f t="shared" si="605"/>
        <v>$0.00</v>
      </c>
      <c r="AA527" s="101" t="str">
        <f t="shared" si="606"/>
        <v>$0.00</v>
      </c>
      <c r="AB527" s="688" t="str">
        <f t="shared" si="607"/>
        <v>$0.00</v>
      </c>
      <c r="AC527" s="689"/>
    </row>
    <row r="528" spans="3:29" x14ac:dyDescent="0.2">
      <c r="C528" s="95">
        <v>450</v>
      </c>
      <c r="D528" s="101">
        <f t="shared" si="592"/>
        <v>0</v>
      </c>
      <c r="E528" s="101">
        <f t="shared" si="593"/>
        <v>0</v>
      </c>
      <c r="F528" s="101">
        <f t="shared" si="594"/>
        <v>0</v>
      </c>
      <c r="G528" s="688">
        <f t="shared" si="595"/>
        <v>0</v>
      </c>
      <c r="H528" s="689"/>
      <c r="J528" s="95">
        <v>450</v>
      </c>
      <c r="K528" s="96">
        <f t="shared" si="596"/>
        <v>0</v>
      </c>
      <c r="L528" s="96">
        <f t="shared" si="597"/>
        <v>0</v>
      </c>
      <c r="M528" s="96">
        <f t="shared" si="598"/>
        <v>0</v>
      </c>
      <c r="N528" s="688">
        <f t="shared" si="599"/>
        <v>0</v>
      </c>
      <c r="O528" s="689"/>
      <c r="Q528" s="95">
        <v>450</v>
      </c>
      <c r="R528" s="101">
        <f t="shared" si="600"/>
        <v>0</v>
      </c>
      <c r="S528" s="101">
        <f t="shared" si="601"/>
        <v>0</v>
      </c>
      <c r="T528" s="101">
        <f t="shared" si="602"/>
        <v>0</v>
      </c>
      <c r="U528" s="688">
        <f t="shared" si="603"/>
        <v>0</v>
      </c>
      <c r="V528" s="689"/>
      <c r="X528" s="95">
        <v>450</v>
      </c>
      <c r="Y528" s="101">
        <f t="shared" si="604"/>
        <v>0</v>
      </c>
      <c r="Z528" s="101">
        <f t="shared" si="605"/>
        <v>0</v>
      </c>
      <c r="AA528" s="101">
        <f t="shared" si="606"/>
        <v>0</v>
      </c>
      <c r="AB528" s="688">
        <f t="shared" si="607"/>
        <v>0</v>
      </c>
      <c r="AC528" s="689"/>
    </row>
    <row r="529" spans="3:29" x14ac:dyDescent="0.2">
      <c r="C529" s="95">
        <v>451</v>
      </c>
      <c r="D529" s="101" t="str">
        <f t="shared" si="592"/>
        <v>$0.00</v>
      </c>
      <c r="E529" s="101" t="str">
        <f t="shared" si="593"/>
        <v>$0.00</v>
      </c>
      <c r="F529" s="101" t="str">
        <f t="shared" si="594"/>
        <v>$0.00</v>
      </c>
      <c r="G529" s="688" t="str">
        <f t="shared" si="595"/>
        <v>$0.00</v>
      </c>
      <c r="H529" s="689"/>
      <c r="J529" s="95">
        <v>451</v>
      </c>
      <c r="K529" s="96">
        <f t="shared" si="596"/>
        <v>0</v>
      </c>
      <c r="L529" s="96">
        <f t="shared" si="597"/>
        <v>0</v>
      </c>
      <c r="M529" s="96">
        <f t="shared" si="598"/>
        <v>0</v>
      </c>
      <c r="N529" s="688">
        <f t="shared" si="599"/>
        <v>0</v>
      </c>
      <c r="O529" s="689"/>
      <c r="Q529" s="95">
        <v>451</v>
      </c>
      <c r="R529" s="101" t="str">
        <f t="shared" si="600"/>
        <v>$0.00</v>
      </c>
      <c r="S529" s="101" t="str">
        <f t="shared" si="601"/>
        <v>$0.00</v>
      </c>
      <c r="T529" s="101" t="str">
        <f t="shared" si="602"/>
        <v>$0.00</v>
      </c>
      <c r="U529" s="688" t="str">
        <f t="shared" si="603"/>
        <v>$0.00</v>
      </c>
      <c r="V529" s="689"/>
      <c r="X529" s="95">
        <v>451</v>
      </c>
      <c r="Y529" s="101" t="str">
        <f t="shared" si="604"/>
        <v>$0.00</v>
      </c>
      <c r="Z529" s="101" t="str">
        <f t="shared" si="605"/>
        <v>$0.00</v>
      </c>
      <c r="AA529" s="101" t="str">
        <f t="shared" si="606"/>
        <v>$0.00</v>
      </c>
      <c r="AB529" s="688" t="str">
        <f t="shared" si="607"/>
        <v>$0.00</v>
      </c>
      <c r="AC529" s="689"/>
    </row>
    <row r="530" spans="3:29" x14ac:dyDescent="0.2">
      <c r="C530" s="95">
        <v>452</v>
      </c>
      <c r="D530" s="101">
        <f t="shared" si="592"/>
        <v>0</v>
      </c>
      <c r="E530" s="101">
        <f t="shared" si="593"/>
        <v>0</v>
      </c>
      <c r="F530" s="101">
        <f t="shared" si="594"/>
        <v>0</v>
      </c>
      <c r="G530" s="688">
        <f t="shared" si="595"/>
        <v>0</v>
      </c>
      <c r="H530" s="689"/>
      <c r="J530" s="95">
        <v>452</v>
      </c>
      <c r="K530" s="96">
        <f t="shared" si="596"/>
        <v>0</v>
      </c>
      <c r="L530" s="96">
        <f t="shared" si="597"/>
        <v>0</v>
      </c>
      <c r="M530" s="96">
        <f t="shared" si="598"/>
        <v>0</v>
      </c>
      <c r="N530" s="688">
        <f t="shared" si="599"/>
        <v>0</v>
      </c>
      <c r="O530" s="689"/>
      <c r="Q530" s="95">
        <v>452</v>
      </c>
      <c r="R530" s="101">
        <f t="shared" si="600"/>
        <v>0</v>
      </c>
      <c r="S530" s="101">
        <f t="shared" si="601"/>
        <v>0</v>
      </c>
      <c r="T530" s="101">
        <f t="shared" si="602"/>
        <v>0</v>
      </c>
      <c r="U530" s="688">
        <f t="shared" si="603"/>
        <v>0</v>
      </c>
      <c r="V530" s="689"/>
      <c r="X530" s="95">
        <v>452</v>
      </c>
      <c r="Y530" s="101">
        <f t="shared" si="604"/>
        <v>0</v>
      </c>
      <c r="Z530" s="101">
        <f t="shared" si="605"/>
        <v>0</v>
      </c>
      <c r="AA530" s="101">
        <f t="shared" si="606"/>
        <v>0</v>
      </c>
      <c r="AB530" s="688">
        <f t="shared" si="607"/>
        <v>0</v>
      </c>
      <c r="AC530" s="689"/>
    </row>
    <row r="531" spans="3:29" x14ac:dyDescent="0.2">
      <c r="C531" s="95">
        <v>453</v>
      </c>
      <c r="D531" s="101" t="str">
        <f t="shared" si="592"/>
        <v>$0.00</v>
      </c>
      <c r="E531" s="101" t="str">
        <f t="shared" si="593"/>
        <v>$0.00</v>
      </c>
      <c r="F531" s="101" t="str">
        <f t="shared" si="594"/>
        <v>$0.00</v>
      </c>
      <c r="G531" s="688" t="str">
        <f t="shared" si="595"/>
        <v>$0.00</v>
      </c>
      <c r="H531" s="689"/>
      <c r="J531" s="95">
        <v>453</v>
      </c>
      <c r="K531" s="96">
        <f t="shared" si="596"/>
        <v>0</v>
      </c>
      <c r="L531" s="96">
        <f t="shared" si="597"/>
        <v>0</v>
      </c>
      <c r="M531" s="96">
        <f t="shared" si="598"/>
        <v>0</v>
      </c>
      <c r="N531" s="688">
        <f t="shared" si="599"/>
        <v>0</v>
      </c>
      <c r="O531" s="689"/>
      <c r="Q531" s="95">
        <v>453</v>
      </c>
      <c r="R531" s="101" t="str">
        <f t="shared" si="600"/>
        <v>$0.00</v>
      </c>
      <c r="S531" s="101" t="str">
        <f t="shared" si="601"/>
        <v>$0.00</v>
      </c>
      <c r="T531" s="101" t="str">
        <f t="shared" si="602"/>
        <v>$0.00</v>
      </c>
      <c r="U531" s="688" t="str">
        <f t="shared" si="603"/>
        <v>$0.00</v>
      </c>
      <c r="V531" s="689"/>
      <c r="X531" s="95">
        <v>453</v>
      </c>
      <c r="Y531" s="101" t="str">
        <f t="shared" si="604"/>
        <v>$0.00</v>
      </c>
      <c r="Z531" s="101" t="str">
        <f t="shared" si="605"/>
        <v>$0.00</v>
      </c>
      <c r="AA531" s="101" t="str">
        <f t="shared" si="606"/>
        <v>$0.00</v>
      </c>
      <c r="AB531" s="688" t="str">
        <f t="shared" si="607"/>
        <v>$0.00</v>
      </c>
      <c r="AC531" s="689"/>
    </row>
    <row r="532" spans="3:29" x14ac:dyDescent="0.2">
      <c r="C532" s="95">
        <v>454</v>
      </c>
      <c r="D532" s="101">
        <f t="shared" si="592"/>
        <v>0</v>
      </c>
      <c r="E532" s="101">
        <f t="shared" si="593"/>
        <v>0</v>
      </c>
      <c r="F532" s="101">
        <f t="shared" si="594"/>
        <v>0</v>
      </c>
      <c r="G532" s="688">
        <f t="shared" si="595"/>
        <v>0</v>
      </c>
      <c r="H532" s="689"/>
      <c r="J532" s="95">
        <v>454</v>
      </c>
      <c r="K532" s="96">
        <f t="shared" si="596"/>
        <v>0</v>
      </c>
      <c r="L532" s="96">
        <f t="shared" si="597"/>
        <v>0</v>
      </c>
      <c r="M532" s="96">
        <f t="shared" si="598"/>
        <v>0</v>
      </c>
      <c r="N532" s="688">
        <f t="shared" si="599"/>
        <v>0</v>
      </c>
      <c r="O532" s="689"/>
      <c r="Q532" s="95">
        <v>454</v>
      </c>
      <c r="R532" s="101">
        <f t="shared" si="600"/>
        <v>0</v>
      </c>
      <c r="S532" s="101">
        <f t="shared" si="601"/>
        <v>0</v>
      </c>
      <c r="T532" s="101">
        <f t="shared" si="602"/>
        <v>0</v>
      </c>
      <c r="U532" s="688">
        <f t="shared" si="603"/>
        <v>0</v>
      </c>
      <c r="V532" s="689"/>
      <c r="X532" s="95">
        <v>454</v>
      </c>
      <c r="Y532" s="101">
        <f t="shared" si="604"/>
        <v>0</v>
      </c>
      <c r="Z532" s="101">
        <f t="shared" si="605"/>
        <v>0</v>
      </c>
      <c r="AA532" s="101">
        <f t="shared" si="606"/>
        <v>0</v>
      </c>
      <c r="AB532" s="688">
        <f t="shared" si="607"/>
        <v>0</v>
      </c>
      <c r="AC532" s="689"/>
    </row>
    <row r="533" spans="3:29" x14ac:dyDescent="0.2">
      <c r="C533" s="95">
        <v>455</v>
      </c>
      <c r="D533" s="101" t="str">
        <f t="shared" si="592"/>
        <v>$0.00</v>
      </c>
      <c r="E533" s="101" t="str">
        <f t="shared" si="593"/>
        <v>$0.00</v>
      </c>
      <c r="F533" s="101" t="str">
        <f t="shared" si="594"/>
        <v>$0.00</v>
      </c>
      <c r="G533" s="688" t="str">
        <f t="shared" si="595"/>
        <v>$0.00</v>
      </c>
      <c r="H533" s="689"/>
      <c r="J533" s="95">
        <v>455</v>
      </c>
      <c r="K533" s="96">
        <f t="shared" si="596"/>
        <v>0</v>
      </c>
      <c r="L533" s="96">
        <f t="shared" si="597"/>
        <v>0</v>
      </c>
      <c r="M533" s="96">
        <f t="shared" si="598"/>
        <v>0</v>
      </c>
      <c r="N533" s="688">
        <f t="shared" si="599"/>
        <v>0</v>
      </c>
      <c r="O533" s="689"/>
      <c r="Q533" s="95">
        <v>455</v>
      </c>
      <c r="R533" s="101" t="str">
        <f t="shared" si="600"/>
        <v>$0.00</v>
      </c>
      <c r="S533" s="101" t="str">
        <f t="shared" si="601"/>
        <v>$0.00</v>
      </c>
      <c r="T533" s="101" t="str">
        <f t="shared" si="602"/>
        <v>$0.00</v>
      </c>
      <c r="U533" s="688" t="str">
        <f t="shared" si="603"/>
        <v>$0.00</v>
      </c>
      <c r="V533" s="689"/>
      <c r="X533" s="95">
        <v>455</v>
      </c>
      <c r="Y533" s="101" t="str">
        <f t="shared" si="604"/>
        <v>$0.00</v>
      </c>
      <c r="Z533" s="101" t="str">
        <f t="shared" si="605"/>
        <v>$0.00</v>
      </c>
      <c r="AA533" s="101" t="str">
        <f t="shared" si="606"/>
        <v>$0.00</v>
      </c>
      <c r="AB533" s="688" t="str">
        <f t="shared" si="607"/>
        <v>$0.00</v>
      </c>
      <c r="AC533" s="689"/>
    </row>
    <row r="534" spans="3:29" x14ac:dyDescent="0.2">
      <c r="C534" s="95">
        <v>456</v>
      </c>
      <c r="D534" s="101">
        <f t="shared" si="592"/>
        <v>0</v>
      </c>
      <c r="E534" s="101">
        <f t="shared" si="593"/>
        <v>0</v>
      </c>
      <c r="F534" s="101">
        <f t="shared" si="594"/>
        <v>0</v>
      </c>
      <c r="G534" s="690">
        <f t="shared" si="595"/>
        <v>0</v>
      </c>
      <c r="H534" s="691"/>
      <c r="J534" s="95">
        <v>456</v>
      </c>
      <c r="K534" s="96">
        <f t="shared" si="596"/>
        <v>0</v>
      </c>
      <c r="L534" s="96">
        <f t="shared" si="597"/>
        <v>0</v>
      </c>
      <c r="M534" s="96">
        <f t="shared" si="598"/>
        <v>0</v>
      </c>
      <c r="N534" s="690">
        <f t="shared" si="599"/>
        <v>0</v>
      </c>
      <c r="O534" s="691"/>
      <c r="Q534" s="95">
        <v>456</v>
      </c>
      <c r="R534" s="101">
        <f t="shared" si="600"/>
        <v>0</v>
      </c>
      <c r="S534" s="101">
        <f t="shared" si="601"/>
        <v>0</v>
      </c>
      <c r="T534" s="101">
        <f t="shared" si="602"/>
        <v>0</v>
      </c>
      <c r="U534" s="690">
        <f t="shared" si="603"/>
        <v>0</v>
      </c>
      <c r="V534" s="691"/>
      <c r="X534" s="95">
        <v>456</v>
      </c>
      <c r="Y534" s="101">
        <f t="shared" si="604"/>
        <v>0</v>
      </c>
      <c r="Z534" s="101">
        <f t="shared" si="605"/>
        <v>0</v>
      </c>
      <c r="AA534" s="101">
        <f t="shared" si="606"/>
        <v>0</v>
      </c>
      <c r="AB534" s="690">
        <f t="shared" si="607"/>
        <v>0</v>
      </c>
      <c r="AC534" s="691"/>
    </row>
    <row r="535" spans="3:29" x14ac:dyDescent="0.2">
      <c r="C535" s="97" t="s">
        <v>829</v>
      </c>
      <c r="D535" s="104">
        <f>SUM(D523:D534)</f>
        <v>0</v>
      </c>
      <c r="E535" s="104">
        <f>SUM(E523:E534)</f>
        <v>0</v>
      </c>
      <c r="F535" s="104">
        <f>SUM(F523:F534)</f>
        <v>0</v>
      </c>
      <c r="G535" s="692">
        <f>G534</f>
        <v>0</v>
      </c>
      <c r="H535" s="693"/>
      <c r="J535" s="97" t="s">
        <v>829</v>
      </c>
      <c r="K535" s="86">
        <f>SUM(K523:K534)</f>
        <v>0</v>
      </c>
      <c r="L535" s="86">
        <f>SUM(L523:L534)</f>
        <v>0</v>
      </c>
      <c r="M535" s="86">
        <f>SUM(M523:M534)</f>
        <v>0</v>
      </c>
      <c r="N535" s="692">
        <f>N534</f>
        <v>0</v>
      </c>
      <c r="O535" s="711"/>
      <c r="Q535" s="97" t="s">
        <v>829</v>
      </c>
      <c r="R535" s="104">
        <f>SUM(R523:R534)</f>
        <v>0</v>
      </c>
      <c r="S535" s="104">
        <f>SUM(S523:S534)</f>
        <v>0</v>
      </c>
      <c r="T535" s="104">
        <f>SUM(T523:T534)</f>
        <v>0</v>
      </c>
      <c r="U535" s="692">
        <f>U534</f>
        <v>0</v>
      </c>
      <c r="V535" s="693"/>
      <c r="X535" s="97" t="s">
        <v>829</v>
      </c>
      <c r="Y535" s="104">
        <f>SUM(Y523:Y534)</f>
        <v>0</v>
      </c>
      <c r="Z535" s="104">
        <f>SUM(Z523:Z534)</f>
        <v>0</v>
      </c>
      <c r="AA535" s="104">
        <f>SUM(AA523:AA534)</f>
        <v>0</v>
      </c>
      <c r="AB535" s="692">
        <f>AB534</f>
        <v>0</v>
      </c>
      <c r="AC535" s="693"/>
    </row>
    <row r="536" spans="3:29" x14ac:dyDescent="0.2">
      <c r="C536" s="95">
        <v>457</v>
      </c>
      <c r="D536" s="101" t="str">
        <f t="shared" ref="D536:D547" si="608">IF(G535&gt;0,G535*($E$36)/12,"$0.00")</f>
        <v>$0.00</v>
      </c>
      <c r="E536" s="101" t="str">
        <f t="shared" ref="E536:E547" si="609">IF(G535&gt;0,IF($E$38=4,"$0.00",IF($E$38=3,"$0.00",IF($E$38=2,"$0.00",+$G$39-D536))),"$0.00")</f>
        <v>$0.00</v>
      </c>
      <c r="F536" s="101" t="str">
        <f t="shared" ref="F536:F547" si="610">IF(G535=0,"$0.00",IF($E$38=4,"$0.00",IF($E$38=3,"$0.00",IF($E$38=2,D536,D536+E536))))</f>
        <v>$0.00</v>
      </c>
      <c r="G536" s="688" t="str">
        <f t="shared" ref="G536:G547" si="611">IF(G535=0,"$0.00",IF($E$38=4,G535+D536,IF($E$38=3,G535+D536,IF($E$38=2,G535,G535-E536))))</f>
        <v>$0.00</v>
      </c>
      <c r="H536" s="689"/>
      <c r="J536" s="95">
        <v>457</v>
      </c>
      <c r="K536" s="96">
        <f t="shared" ref="K536:K547" si="612">N535*($L$36)/12</f>
        <v>0</v>
      </c>
      <c r="L536" s="96">
        <f t="shared" ref="L536:L547" si="613">IF(L532=4,"$0.00",+$N$39-K536)</f>
        <v>0</v>
      </c>
      <c r="M536" s="96">
        <f t="shared" ref="M536:M547" si="614">IF(L532=4,"$0.00",K536+L536)</f>
        <v>0</v>
      </c>
      <c r="N536" s="709">
        <f t="shared" ref="N536:N547" si="615">IF(L532=4,N535+K536,N535-L536)</f>
        <v>0</v>
      </c>
      <c r="O536" s="710"/>
      <c r="Q536" s="95">
        <v>457</v>
      </c>
      <c r="R536" s="101" t="str">
        <f t="shared" ref="R536:R547" si="616">IF(U535&gt;0,U535*($S$36)/12,"$0.00")</f>
        <v>$0.00</v>
      </c>
      <c r="S536" s="101" t="str">
        <f t="shared" ref="S536:S547" si="617">IF(U535&gt;0,IF($S$38=4,"$0.00",IF($S$38=3,"$0.00",IF($S$38=2,"$0.00",+$U$39-R536))),"$0.00")</f>
        <v>$0.00</v>
      </c>
      <c r="T536" s="101" t="str">
        <f t="shared" ref="T536:T547" si="618">IF(U535=0,"$0.00",IF($S$38=4,"$0.00",IF($S$38=3,"$0.00",IF($S$38=2,R536,R536+S536))))</f>
        <v>$0.00</v>
      </c>
      <c r="U536" s="688" t="str">
        <f t="shared" ref="U536:U547" si="619">IF(U535=0,"$0.00",IF($S$38=4,U535+R536,IF($S$38=3,U535+R536,IF($S$38=2,U535,U535-S536))))</f>
        <v>$0.00</v>
      </c>
      <c r="V536" s="689"/>
      <c r="X536" s="95">
        <v>457</v>
      </c>
      <c r="Y536" s="101" t="str">
        <f t="shared" ref="Y536:Y547" si="620">IF(AB535&gt;0,AB535*($Z$36)/12,"$0.00")</f>
        <v>$0.00</v>
      </c>
      <c r="Z536" s="101" t="str">
        <f t="shared" ref="Z536:Z547" si="621">IF(AB535&gt;0,IF($Z$38=4,"$0.00",IF($Z$38=3,"$0.00",IF($Z$38=2,"$0.00",+$AB$39-Y536))),"$0.00")</f>
        <v>$0.00</v>
      </c>
      <c r="AA536" s="101" t="str">
        <f t="shared" ref="AA536:AA547" si="622">IF(AB535=0,"$0.00",IF($Z$38=4,"$0.00",IF($Z$38=3,"$0.00",IF($Z$38=2,Y536,Y536+Z536))))</f>
        <v>$0.00</v>
      </c>
      <c r="AB536" s="688" t="str">
        <f t="shared" ref="AB536:AB547" si="623">IF(AB535=0,"$0.00",IF($Z$38=4,AB535+Y536,IF($Z$38=3,AB535+Y536,IF($Z$38=2,AB535,AB535-Z536))))</f>
        <v>$0.00</v>
      </c>
      <c r="AC536" s="689"/>
    </row>
    <row r="537" spans="3:29" x14ac:dyDescent="0.2">
      <c r="C537" s="95">
        <v>458</v>
      </c>
      <c r="D537" s="101">
        <f t="shared" si="608"/>
        <v>0</v>
      </c>
      <c r="E537" s="101">
        <f t="shared" si="609"/>
        <v>0</v>
      </c>
      <c r="F537" s="101">
        <f t="shared" si="610"/>
        <v>0</v>
      </c>
      <c r="G537" s="688">
        <f t="shared" si="611"/>
        <v>0</v>
      </c>
      <c r="H537" s="689"/>
      <c r="J537" s="95">
        <v>458</v>
      </c>
      <c r="K537" s="96">
        <f t="shared" si="612"/>
        <v>0</v>
      </c>
      <c r="L537" s="96">
        <f t="shared" si="613"/>
        <v>0</v>
      </c>
      <c r="M537" s="96">
        <f t="shared" si="614"/>
        <v>0</v>
      </c>
      <c r="N537" s="688">
        <f t="shared" si="615"/>
        <v>0</v>
      </c>
      <c r="O537" s="689"/>
      <c r="Q537" s="95">
        <v>458</v>
      </c>
      <c r="R537" s="101">
        <f t="shared" si="616"/>
        <v>0</v>
      </c>
      <c r="S537" s="101">
        <f t="shared" si="617"/>
        <v>0</v>
      </c>
      <c r="T537" s="101">
        <f t="shared" si="618"/>
        <v>0</v>
      </c>
      <c r="U537" s="688">
        <f t="shared" si="619"/>
        <v>0</v>
      </c>
      <c r="V537" s="689"/>
      <c r="X537" s="95">
        <v>458</v>
      </c>
      <c r="Y537" s="101">
        <f t="shared" si="620"/>
        <v>0</v>
      </c>
      <c r="Z537" s="101">
        <f t="shared" si="621"/>
        <v>0</v>
      </c>
      <c r="AA537" s="101">
        <f t="shared" si="622"/>
        <v>0</v>
      </c>
      <c r="AB537" s="688">
        <f t="shared" si="623"/>
        <v>0</v>
      </c>
      <c r="AC537" s="689"/>
    </row>
    <row r="538" spans="3:29" x14ac:dyDescent="0.2">
      <c r="C538" s="95">
        <v>459</v>
      </c>
      <c r="D538" s="101" t="str">
        <f t="shared" si="608"/>
        <v>$0.00</v>
      </c>
      <c r="E538" s="101" t="str">
        <f t="shared" si="609"/>
        <v>$0.00</v>
      </c>
      <c r="F538" s="101" t="str">
        <f t="shared" si="610"/>
        <v>$0.00</v>
      </c>
      <c r="G538" s="688" t="str">
        <f t="shared" si="611"/>
        <v>$0.00</v>
      </c>
      <c r="H538" s="689"/>
      <c r="J538" s="95">
        <v>459</v>
      </c>
      <c r="K538" s="96">
        <f t="shared" si="612"/>
        <v>0</v>
      </c>
      <c r="L538" s="96">
        <f t="shared" si="613"/>
        <v>0</v>
      </c>
      <c r="M538" s="96">
        <f t="shared" si="614"/>
        <v>0</v>
      </c>
      <c r="N538" s="688">
        <f t="shared" si="615"/>
        <v>0</v>
      </c>
      <c r="O538" s="689"/>
      <c r="Q538" s="95">
        <v>459</v>
      </c>
      <c r="R538" s="101" t="str">
        <f t="shared" si="616"/>
        <v>$0.00</v>
      </c>
      <c r="S538" s="101" t="str">
        <f t="shared" si="617"/>
        <v>$0.00</v>
      </c>
      <c r="T538" s="101" t="str">
        <f t="shared" si="618"/>
        <v>$0.00</v>
      </c>
      <c r="U538" s="688" t="str">
        <f t="shared" si="619"/>
        <v>$0.00</v>
      </c>
      <c r="V538" s="689"/>
      <c r="X538" s="95">
        <v>459</v>
      </c>
      <c r="Y538" s="101" t="str">
        <f t="shared" si="620"/>
        <v>$0.00</v>
      </c>
      <c r="Z538" s="101" t="str">
        <f t="shared" si="621"/>
        <v>$0.00</v>
      </c>
      <c r="AA538" s="101" t="str">
        <f t="shared" si="622"/>
        <v>$0.00</v>
      </c>
      <c r="AB538" s="688" t="str">
        <f t="shared" si="623"/>
        <v>$0.00</v>
      </c>
      <c r="AC538" s="689"/>
    </row>
    <row r="539" spans="3:29" x14ac:dyDescent="0.2">
      <c r="C539" s="95">
        <v>460</v>
      </c>
      <c r="D539" s="101">
        <f t="shared" si="608"/>
        <v>0</v>
      </c>
      <c r="E539" s="101">
        <f t="shared" si="609"/>
        <v>0</v>
      </c>
      <c r="F539" s="101">
        <f t="shared" si="610"/>
        <v>0</v>
      </c>
      <c r="G539" s="688">
        <f t="shared" si="611"/>
        <v>0</v>
      </c>
      <c r="H539" s="689"/>
      <c r="J539" s="95">
        <v>460</v>
      </c>
      <c r="K539" s="96">
        <f t="shared" si="612"/>
        <v>0</v>
      </c>
      <c r="L539" s="96">
        <f t="shared" si="613"/>
        <v>0</v>
      </c>
      <c r="M539" s="96">
        <f t="shared" si="614"/>
        <v>0</v>
      </c>
      <c r="N539" s="688">
        <f t="shared" si="615"/>
        <v>0</v>
      </c>
      <c r="O539" s="689"/>
      <c r="Q539" s="95">
        <v>460</v>
      </c>
      <c r="R539" s="101">
        <f t="shared" si="616"/>
        <v>0</v>
      </c>
      <c r="S539" s="101">
        <f t="shared" si="617"/>
        <v>0</v>
      </c>
      <c r="T539" s="101">
        <f t="shared" si="618"/>
        <v>0</v>
      </c>
      <c r="U539" s="688">
        <f t="shared" si="619"/>
        <v>0</v>
      </c>
      <c r="V539" s="689"/>
      <c r="X539" s="95">
        <v>460</v>
      </c>
      <c r="Y539" s="101">
        <f t="shared" si="620"/>
        <v>0</v>
      </c>
      <c r="Z539" s="101">
        <f t="shared" si="621"/>
        <v>0</v>
      </c>
      <c r="AA539" s="101">
        <f t="shared" si="622"/>
        <v>0</v>
      </c>
      <c r="AB539" s="688">
        <f t="shared" si="623"/>
        <v>0</v>
      </c>
      <c r="AC539" s="689"/>
    </row>
    <row r="540" spans="3:29" x14ac:dyDescent="0.2">
      <c r="C540" s="95">
        <v>461</v>
      </c>
      <c r="D540" s="101" t="str">
        <f t="shared" si="608"/>
        <v>$0.00</v>
      </c>
      <c r="E540" s="101" t="str">
        <f t="shared" si="609"/>
        <v>$0.00</v>
      </c>
      <c r="F540" s="101" t="str">
        <f t="shared" si="610"/>
        <v>$0.00</v>
      </c>
      <c r="G540" s="688" t="str">
        <f t="shared" si="611"/>
        <v>$0.00</v>
      </c>
      <c r="H540" s="689"/>
      <c r="J540" s="95">
        <v>461</v>
      </c>
      <c r="K540" s="96">
        <f t="shared" si="612"/>
        <v>0</v>
      </c>
      <c r="L540" s="96">
        <f t="shared" si="613"/>
        <v>0</v>
      </c>
      <c r="M540" s="96">
        <f t="shared" si="614"/>
        <v>0</v>
      </c>
      <c r="N540" s="688">
        <f t="shared" si="615"/>
        <v>0</v>
      </c>
      <c r="O540" s="689"/>
      <c r="Q540" s="95">
        <v>461</v>
      </c>
      <c r="R540" s="101" t="str">
        <f t="shared" si="616"/>
        <v>$0.00</v>
      </c>
      <c r="S540" s="101" t="str">
        <f t="shared" si="617"/>
        <v>$0.00</v>
      </c>
      <c r="T540" s="101" t="str">
        <f t="shared" si="618"/>
        <v>$0.00</v>
      </c>
      <c r="U540" s="688" t="str">
        <f t="shared" si="619"/>
        <v>$0.00</v>
      </c>
      <c r="V540" s="689"/>
      <c r="X540" s="95">
        <v>461</v>
      </c>
      <c r="Y540" s="101" t="str">
        <f t="shared" si="620"/>
        <v>$0.00</v>
      </c>
      <c r="Z540" s="101" t="str">
        <f t="shared" si="621"/>
        <v>$0.00</v>
      </c>
      <c r="AA540" s="101" t="str">
        <f t="shared" si="622"/>
        <v>$0.00</v>
      </c>
      <c r="AB540" s="688" t="str">
        <f t="shared" si="623"/>
        <v>$0.00</v>
      </c>
      <c r="AC540" s="689"/>
    </row>
    <row r="541" spans="3:29" x14ac:dyDescent="0.2">
      <c r="C541" s="95">
        <v>462</v>
      </c>
      <c r="D541" s="101">
        <f t="shared" si="608"/>
        <v>0</v>
      </c>
      <c r="E541" s="101">
        <f t="shared" si="609"/>
        <v>0</v>
      </c>
      <c r="F541" s="101">
        <f t="shared" si="610"/>
        <v>0</v>
      </c>
      <c r="G541" s="688">
        <f t="shared" si="611"/>
        <v>0</v>
      </c>
      <c r="H541" s="689"/>
      <c r="J541" s="95">
        <v>462</v>
      </c>
      <c r="K541" s="96">
        <f t="shared" si="612"/>
        <v>0</v>
      </c>
      <c r="L541" s="96">
        <f t="shared" si="613"/>
        <v>0</v>
      </c>
      <c r="M541" s="96">
        <f t="shared" si="614"/>
        <v>0</v>
      </c>
      <c r="N541" s="688">
        <f t="shared" si="615"/>
        <v>0</v>
      </c>
      <c r="O541" s="689"/>
      <c r="Q541" s="95">
        <v>462</v>
      </c>
      <c r="R541" s="101">
        <f t="shared" si="616"/>
        <v>0</v>
      </c>
      <c r="S541" s="101">
        <f t="shared" si="617"/>
        <v>0</v>
      </c>
      <c r="T541" s="101">
        <f t="shared" si="618"/>
        <v>0</v>
      </c>
      <c r="U541" s="688">
        <f t="shared" si="619"/>
        <v>0</v>
      </c>
      <c r="V541" s="689"/>
      <c r="X541" s="95">
        <v>462</v>
      </c>
      <c r="Y541" s="101">
        <f t="shared" si="620"/>
        <v>0</v>
      </c>
      <c r="Z541" s="101">
        <f t="shared" si="621"/>
        <v>0</v>
      </c>
      <c r="AA541" s="101">
        <f t="shared" si="622"/>
        <v>0</v>
      </c>
      <c r="AB541" s="688">
        <f t="shared" si="623"/>
        <v>0</v>
      </c>
      <c r="AC541" s="689"/>
    </row>
    <row r="542" spans="3:29" x14ac:dyDescent="0.2">
      <c r="C542" s="95">
        <v>463</v>
      </c>
      <c r="D542" s="101" t="str">
        <f t="shared" si="608"/>
        <v>$0.00</v>
      </c>
      <c r="E542" s="101" t="str">
        <f t="shared" si="609"/>
        <v>$0.00</v>
      </c>
      <c r="F542" s="101" t="str">
        <f t="shared" si="610"/>
        <v>$0.00</v>
      </c>
      <c r="G542" s="688" t="str">
        <f t="shared" si="611"/>
        <v>$0.00</v>
      </c>
      <c r="H542" s="689"/>
      <c r="J542" s="95">
        <v>463</v>
      </c>
      <c r="K542" s="96">
        <f t="shared" si="612"/>
        <v>0</v>
      </c>
      <c r="L542" s="96">
        <f t="shared" si="613"/>
        <v>0</v>
      </c>
      <c r="M542" s="96">
        <f t="shared" si="614"/>
        <v>0</v>
      </c>
      <c r="N542" s="688">
        <f t="shared" si="615"/>
        <v>0</v>
      </c>
      <c r="O542" s="689"/>
      <c r="Q542" s="95">
        <v>463</v>
      </c>
      <c r="R542" s="101" t="str">
        <f t="shared" si="616"/>
        <v>$0.00</v>
      </c>
      <c r="S542" s="101" t="str">
        <f t="shared" si="617"/>
        <v>$0.00</v>
      </c>
      <c r="T542" s="101" t="str">
        <f t="shared" si="618"/>
        <v>$0.00</v>
      </c>
      <c r="U542" s="688" t="str">
        <f t="shared" si="619"/>
        <v>$0.00</v>
      </c>
      <c r="V542" s="689"/>
      <c r="X542" s="95">
        <v>463</v>
      </c>
      <c r="Y542" s="101" t="str">
        <f t="shared" si="620"/>
        <v>$0.00</v>
      </c>
      <c r="Z542" s="101" t="str">
        <f t="shared" si="621"/>
        <v>$0.00</v>
      </c>
      <c r="AA542" s="101" t="str">
        <f t="shared" si="622"/>
        <v>$0.00</v>
      </c>
      <c r="AB542" s="688" t="str">
        <f t="shared" si="623"/>
        <v>$0.00</v>
      </c>
      <c r="AC542" s="689"/>
    </row>
    <row r="543" spans="3:29" x14ac:dyDescent="0.2">
      <c r="C543" s="95">
        <v>464</v>
      </c>
      <c r="D543" s="101">
        <f t="shared" si="608"/>
        <v>0</v>
      </c>
      <c r="E543" s="101">
        <f t="shared" si="609"/>
        <v>0</v>
      </c>
      <c r="F543" s="101">
        <f t="shared" si="610"/>
        <v>0</v>
      </c>
      <c r="G543" s="688">
        <f t="shared" si="611"/>
        <v>0</v>
      </c>
      <c r="H543" s="689"/>
      <c r="J543" s="95">
        <v>464</v>
      </c>
      <c r="K543" s="96">
        <f t="shared" si="612"/>
        <v>0</v>
      </c>
      <c r="L543" s="96">
        <f t="shared" si="613"/>
        <v>0</v>
      </c>
      <c r="M543" s="96">
        <f t="shared" si="614"/>
        <v>0</v>
      </c>
      <c r="N543" s="688">
        <f t="shared" si="615"/>
        <v>0</v>
      </c>
      <c r="O543" s="689"/>
      <c r="Q543" s="95">
        <v>464</v>
      </c>
      <c r="R543" s="101">
        <f t="shared" si="616"/>
        <v>0</v>
      </c>
      <c r="S543" s="101">
        <f t="shared" si="617"/>
        <v>0</v>
      </c>
      <c r="T543" s="101">
        <f t="shared" si="618"/>
        <v>0</v>
      </c>
      <c r="U543" s="688">
        <f t="shared" si="619"/>
        <v>0</v>
      </c>
      <c r="V543" s="689"/>
      <c r="X543" s="95">
        <v>464</v>
      </c>
      <c r="Y543" s="101">
        <f t="shared" si="620"/>
        <v>0</v>
      </c>
      <c r="Z543" s="101">
        <f t="shared" si="621"/>
        <v>0</v>
      </c>
      <c r="AA543" s="101">
        <f t="shared" si="622"/>
        <v>0</v>
      </c>
      <c r="AB543" s="688">
        <f t="shared" si="623"/>
        <v>0</v>
      </c>
      <c r="AC543" s="689"/>
    </row>
    <row r="544" spans="3:29" x14ac:dyDescent="0.2">
      <c r="C544" s="95">
        <v>465</v>
      </c>
      <c r="D544" s="101" t="str">
        <f t="shared" si="608"/>
        <v>$0.00</v>
      </c>
      <c r="E544" s="101" t="str">
        <f t="shared" si="609"/>
        <v>$0.00</v>
      </c>
      <c r="F544" s="101" t="str">
        <f t="shared" si="610"/>
        <v>$0.00</v>
      </c>
      <c r="G544" s="688" t="str">
        <f t="shared" si="611"/>
        <v>$0.00</v>
      </c>
      <c r="H544" s="689"/>
      <c r="J544" s="95">
        <v>465</v>
      </c>
      <c r="K544" s="96">
        <f t="shared" si="612"/>
        <v>0</v>
      </c>
      <c r="L544" s="96">
        <f t="shared" si="613"/>
        <v>0</v>
      </c>
      <c r="M544" s="96">
        <f t="shared" si="614"/>
        <v>0</v>
      </c>
      <c r="N544" s="688">
        <f t="shared" si="615"/>
        <v>0</v>
      </c>
      <c r="O544" s="689"/>
      <c r="Q544" s="95">
        <v>465</v>
      </c>
      <c r="R544" s="101" t="str">
        <f t="shared" si="616"/>
        <v>$0.00</v>
      </c>
      <c r="S544" s="101" t="str">
        <f t="shared" si="617"/>
        <v>$0.00</v>
      </c>
      <c r="T544" s="101" t="str">
        <f t="shared" si="618"/>
        <v>$0.00</v>
      </c>
      <c r="U544" s="688" t="str">
        <f t="shared" si="619"/>
        <v>$0.00</v>
      </c>
      <c r="V544" s="689"/>
      <c r="X544" s="95">
        <v>465</v>
      </c>
      <c r="Y544" s="101" t="str">
        <f t="shared" si="620"/>
        <v>$0.00</v>
      </c>
      <c r="Z544" s="101" t="str">
        <f t="shared" si="621"/>
        <v>$0.00</v>
      </c>
      <c r="AA544" s="101" t="str">
        <f t="shared" si="622"/>
        <v>$0.00</v>
      </c>
      <c r="AB544" s="688" t="str">
        <f t="shared" si="623"/>
        <v>$0.00</v>
      </c>
      <c r="AC544" s="689"/>
    </row>
    <row r="545" spans="3:29" x14ac:dyDescent="0.2">
      <c r="C545" s="95">
        <v>466</v>
      </c>
      <c r="D545" s="101">
        <f t="shared" si="608"/>
        <v>0</v>
      </c>
      <c r="E545" s="101">
        <f t="shared" si="609"/>
        <v>0</v>
      </c>
      <c r="F545" s="101">
        <f t="shared" si="610"/>
        <v>0</v>
      </c>
      <c r="G545" s="688">
        <f t="shared" si="611"/>
        <v>0</v>
      </c>
      <c r="H545" s="689"/>
      <c r="J545" s="95">
        <v>466</v>
      </c>
      <c r="K545" s="96">
        <f t="shared" si="612"/>
        <v>0</v>
      </c>
      <c r="L545" s="96">
        <f t="shared" si="613"/>
        <v>0</v>
      </c>
      <c r="M545" s="96">
        <f t="shared" si="614"/>
        <v>0</v>
      </c>
      <c r="N545" s="688">
        <f t="shared" si="615"/>
        <v>0</v>
      </c>
      <c r="O545" s="689"/>
      <c r="Q545" s="95">
        <v>466</v>
      </c>
      <c r="R545" s="101">
        <f t="shared" si="616"/>
        <v>0</v>
      </c>
      <c r="S545" s="101">
        <f t="shared" si="617"/>
        <v>0</v>
      </c>
      <c r="T545" s="101">
        <f t="shared" si="618"/>
        <v>0</v>
      </c>
      <c r="U545" s="688">
        <f t="shared" si="619"/>
        <v>0</v>
      </c>
      <c r="V545" s="689"/>
      <c r="X545" s="95">
        <v>466</v>
      </c>
      <c r="Y545" s="101">
        <f t="shared" si="620"/>
        <v>0</v>
      </c>
      <c r="Z545" s="101">
        <f t="shared" si="621"/>
        <v>0</v>
      </c>
      <c r="AA545" s="101">
        <f t="shared" si="622"/>
        <v>0</v>
      </c>
      <c r="AB545" s="688">
        <f t="shared" si="623"/>
        <v>0</v>
      </c>
      <c r="AC545" s="689"/>
    </row>
    <row r="546" spans="3:29" x14ac:dyDescent="0.2">
      <c r="C546" s="95">
        <v>467</v>
      </c>
      <c r="D546" s="101" t="str">
        <f t="shared" si="608"/>
        <v>$0.00</v>
      </c>
      <c r="E546" s="101" t="str">
        <f t="shared" si="609"/>
        <v>$0.00</v>
      </c>
      <c r="F546" s="101" t="str">
        <f t="shared" si="610"/>
        <v>$0.00</v>
      </c>
      <c r="G546" s="688" t="str">
        <f t="shared" si="611"/>
        <v>$0.00</v>
      </c>
      <c r="H546" s="689"/>
      <c r="J546" s="95">
        <v>467</v>
      </c>
      <c r="K546" s="96">
        <f t="shared" si="612"/>
        <v>0</v>
      </c>
      <c r="L546" s="96">
        <f t="shared" si="613"/>
        <v>0</v>
      </c>
      <c r="M546" s="96">
        <f t="shared" si="614"/>
        <v>0</v>
      </c>
      <c r="N546" s="688">
        <f t="shared" si="615"/>
        <v>0</v>
      </c>
      <c r="O546" s="689"/>
      <c r="Q546" s="95">
        <v>467</v>
      </c>
      <c r="R546" s="101" t="str">
        <f t="shared" si="616"/>
        <v>$0.00</v>
      </c>
      <c r="S546" s="101" t="str">
        <f t="shared" si="617"/>
        <v>$0.00</v>
      </c>
      <c r="T546" s="101" t="str">
        <f t="shared" si="618"/>
        <v>$0.00</v>
      </c>
      <c r="U546" s="688" t="str">
        <f t="shared" si="619"/>
        <v>$0.00</v>
      </c>
      <c r="V546" s="689"/>
      <c r="X546" s="95">
        <v>467</v>
      </c>
      <c r="Y546" s="101" t="str">
        <f t="shared" si="620"/>
        <v>$0.00</v>
      </c>
      <c r="Z546" s="101" t="str">
        <f t="shared" si="621"/>
        <v>$0.00</v>
      </c>
      <c r="AA546" s="101" t="str">
        <f t="shared" si="622"/>
        <v>$0.00</v>
      </c>
      <c r="AB546" s="688" t="str">
        <f t="shared" si="623"/>
        <v>$0.00</v>
      </c>
      <c r="AC546" s="689"/>
    </row>
    <row r="547" spans="3:29" x14ac:dyDescent="0.2">
      <c r="C547" s="95">
        <v>468</v>
      </c>
      <c r="D547" s="101">
        <f t="shared" si="608"/>
        <v>0</v>
      </c>
      <c r="E547" s="101">
        <f t="shared" si="609"/>
        <v>0</v>
      </c>
      <c r="F547" s="101">
        <f t="shared" si="610"/>
        <v>0</v>
      </c>
      <c r="G547" s="690">
        <f t="shared" si="611"/>
        <v>0</v>
      </c>
      <c r="H547" s="691"/>
      <c r="J547" s="95">
        <v>468</v>
      </c>
      <c r="K547" s="96">
        <f t="shared" si="612"/>
        <v>0</v>
      </c>
      <c r="L547" s="96">
        <f t="shared" si="613"/>
        <v>0</v>
      </c>
      <c r="M547" s="96">
        <f t="shared" si="614"/>
        <v>0</v>
      </c>
      <c r="N547" s="690">
        <f t="shared" si="615"/>
        <v>0</v>
      </c>
      <c r="O547" s="691"/>
      <c r="Q547" s="95">
        <v>468</v>
      </c>
      <c r="R547" s="101">
        <f t="shared" si="616"/>
        <v>0</v>
      </c>
      <c r="S547" s="101">
        <f t="shared" si="617"/>
        <v>0</v>
      </c>
      <c r="T547" s="101">
        <f t="shared" si="618"/>
        <v>0</v>
      </c>
      <c r="U547" s="690">
        <f t="shared" si="619"/>
        <v>0</v>
      </c>
      <c r="V547" s="691"/>
      <c r="X547" s="95">
        <v>468</v>
      </c>
      <c r="Y547" s="101">
        <f t="shared" si="620"/>
        <v>0</v>
      </c>
      <c r="Z547" s="101">
        <f t="shared" si="621"/>
        <v>0</v>
      </c>
      <c r="AA547" s="101">
        <f t="shared" si="622"/>
        <v>0</v>
      </c>
      <c r="AB547" s="690">
        <f t="shared" si="623"/>
        <v>0</v>
      </c>
      <c r="AC547" s="691"/>
    </row>
    <row r="548" spans="3:29" x14ac:dyDescent="0.2">
      <c r="C548" s="97" t="s">
        <v>830</v>
      </c>
      <c r="D548" s="104">
        <f>SUM(D536:D547)</f>
        <v>0</v>
      </c>
      <c r="E548" s="104">
        <f>SUM(E536:E547)</f>
        <v>0</v>
      </c>
      <c r="F548" s="104">
        <f>SUM(F536:F547)</f>
        <v>0</v>
      </c>
      <c r="G548" s="692">
        <f>G547</f>
        <v>0</v>
      </c>
      <c r="H548" s="693"/>
      <c r="J548" s="97" t="s">
        <v>830</v>
      </c>
      <c r="K548" s="86">
        <f>SUM(K536:K547)</f>
        <v>0</v>
      </c>
      <c r="L548" s="86">
        <f>SUM(L536:L547)</f>
        <v>0</v>
      </c>
      <c r="M548" s="86">
        <f>SUM(M536:M547)</f>
        <v>0</v>
      </c>
      <c r="N548" s="692">
        <f>N547</f>
        <v>0</v>
      </c>
      <c r="O548" s="711"/>
      <c r="Q548" s="97" t="s">
        <v>830</v>
      </c>
      <c r="R548" s="104">
        <f>SUM(R536:R547)</f>
        <v>0</v>
      </c>
      <c r="S548" s="104">
        <f>SUM(S536:S547)</f>
        <v>0</v>
      </c>
      <c r="T548" s="104">
        <f>SUM(T536:T547)</f>
        <v>0</v>
      </c>
      <c r="U548" s="692">
        <f>U547</f>
        <v>0</v>
      </c>
      <c r="V548" s="693"/>
      <c r="X548" s="97" t="s">
        <v>830</v>
      </c>
      <c r="Y548" s="104">
        <f>SUM(Y536:Y547)</f>
        <v>0</v>
      </c>
      <c r="Z548" s="104">
        <f>SUM(Z536:Z547)</f>
        <v>0</v>
      </c>
      <c r="AA548" s="104">
        <f>SUM(AA536:AA547)</f>
        <v>0</v>
      </c>
      <c r="AB548" s="692">
        <f>AB547</f>
        <v>0</v>
      </c>
      <c r="AC548" s="693"/>
    </row>
    <row r="549" spans="3:29" x14ac:dyDescent="0.2">
      <c r="C549" s="95">
        <v>469</v>
      </c>
      <c r="D549" s="101" t="str">
        <f t="shared" ref="D549:D560" si="624">IF(G548&gt;0,G548*($E$36)/12,"$0.00")</f>
        <v>$0.00</v>
      </c>
      <c r="E549" s="101" t="str">
        <f t="shared" ref="E549:E560" si="625">IF(G548&gt;0,IF($E$38=4,"$0.00",IF($E$38=3,"$0.00",IF($E$38=2,"$0.00",+$G$39-D549))),"$0.00")</f>
        <v>$0.00</v>
      </c>
      <c r="F549" s="101" t="str">
        <f t="shared" ref="F549:F560" si="626">IF(G548=0,"$0.00",IF($E$38=4,"$0.00",IF($E$38=3,"$0.00",IF($E$38=2,D549,D549+E549))))</f>
        <v>$0.00</v>
      </c>
      <c r="G549" s="688" t="str">
        <f t="shared" ref="G549:G560" si="627">IF(G548=0,"$0.00",IF($E$38=4,G548+D549,IF($E$38=3,G548+D549,IF($E$38=2,G548,G548-E549))))</f>
        <v>$0.00</v>
      </c>
      <c r="H549" s="689"/>
      <c r="J549" s="95">
        <v>469</v>
      </c>
      <c r="K549" s="96">
        <f t="shared" ref="K549:K560" si="628">N548*($L$36)/12</f>
        <v>0</v>
      </c>
      <c r="L549" s="96">
        <f t="shared" ref="L549:L560" si="629">IF(L545=4,"$0.00",+$N$39-K549)</f>
        <v>0</v>
      </c>
      <c r="M549" s="96">
        <f t="shared" ref="M549:M560" si="630">IF(L545=4,"$0.00",K549+L549)</f>
        <v>0</v>
      </c>
      <c r="N549" s="709">
        <f t="shared" ref="N549:N560" si="631">IF(L545=4,N548+K549,N548-L549)</f>
        <v>0</v>
      </c>
      <c r="O549" s="710"/>
      <c r="Q549" s="95">
        <v>469</v>
      </c>
      <c r="R549" s="101" t="str">
        <f t="shared" ref="R549:R560" si="632">IF(U548&gt;0,U548*($S$36)/12,"$0.00")</f>
        <v>$0.00</v>
      </c>
      <c r="S549" s="101" t="str">
        <f t="shared" ref="S549:S560" si="633">IF(U548&gt;0,IF($S$38=4,"$0.00",IF($S$38=3,"$0.00",IF($S$38=2,"$0.00",+$U$39-R549))),"$0.00")</f>
        <v>$0.00</v>
      </c>
      <c r="T549" s="101" t="str">
        <f t="shared" ref="T549:T560" si="634">IF(U548=0,"$0.00",IF($S$38=4,"$0.00",IF($S$38=3,"$0.00",IF($S$38=2,R549,R549+S549))))</f>
        <v>$0.00</v>
      </c>
      <c r="U549" s="688" t="str">
        <f t="shared" ref="U549:U560" si="635">IF(U548=0,"$0.00",IF($S$38=4,U548+R549,IF($S$38=3,U548+R549,IF($S$38=2,U548,U548-S549))))</f>
        <v>$0.00</v>
      </c>
      <c r="V549" s="689"/>
      <c r="X549" s="95">
        <v>469</v>
      </c>
      <c r="Y549" s="101" t="str">
        <f t="shared" ref="Y549:Y560" si="636">IF(AB548&gt;0,AB548*($Z$36)/12,"$0.00")</f>
        <v>$0.00</v>
      </c>
      <c r="Z549" s="101" t="str">
        <f t="shared" ref="Z549:Z560" si="637">IF(AB548&gt;0,IF($Z$38=4,"$0.00",IF($Z$38=3,"$0.00",IF($Z$38=2,"$0.00",+$AB$39-Y549))),"$0.00")</f>
        <v>$0.00</v>
      </c>
      <c r="AA549" s="101" t="str">
        <f t="shared" ref="AA549:AA560" si="638">IF(AB548=0,"$0.00",IF($Z$38=4,"$0.00",IF($Z$38=3,"$0.00",IF($Z$38=2,Y549,Y549+Z549))))</f>
        <v>$0.00</v>
      </c>
      <c r="AB549" s="688" t="str">
        <f t="shared" ref="AB549:AB560" si="639">IF(AB548=0,"$0.00",IF($Z$38=4,AB548+Y549,IF($Z$38=3,AB548+Y549,IF($Z$38=2,AB548,AB548-Z549))))</f>
        <v>$0.00</v>
      </c>
      <c r="AC549" s="689"/>
    </row>
    <row r="550" spans="3:29" x14ac:dyDescent="0.2">
      <c r="C550" s="95">
        <v>470</v>
      </c>
      <c r="D550" s="101">
        <f t="shared" si="624"/>
        <v>0</v>
      </c>
      <c r="E550" s="101">
        <f t="shared" si="625"/>
        <v>0</v>
      </c>
      <c r="F550" s="101">
        <f t="shared" si="626"/>
        <v>0</v>
      </c>
      <c r="G550" s="688">
        <f t="shared" si="627"/>
        <v>0</v>
      </c>
      <c r="H550" s="689"/>
      <c r="J550" s="95">
        <v>470</v>
      </c>
      <c r="K550" s="96">
        <f t="shared" si="628"/>
        <v>0</v>
      </c>
      <c r="L550" s="96">
        <f t="shared" si="629"/>
        <v>0</v>
      </c>
      <c r="M550" s="96">
        <f t="shared" si="630"/>
        <v>0</v>
      </c>
      <c r="N550" s="688">
        <f t="shared" si="631"/>
        <v>0</v>
      </c>
      <c r="O550" s="689"/>
      <c r="Q550" s="95">
        <v>470</v>
      </c>
      <c r="R550" s="101">
        <f t="shared" si="632"/>
        <v>0</v>
      </c>
      <c r="S550" s="101">
        <f t="shared" si="633"/>
        <v>0</v>
      </c>
      <c r="T550" s="101">
        <f t="shared" si="634"/>
        <v>0</v>
      </c>
      <c r="U550" s="688">
        <f t="shared" si="635"/>
        <v>0</v>
      </c>
      <c r="V550" s="689"/>
      <c r="X550" s="95">
        <v>470</v>
      </c>
      <c r="Y550" s="101">
        <f t="shared" si="636"/>
        <v>0</v>
      </c>
      <c r="Z550" s="101">
        <f t="shared" si="637"/>
        <v>0</v>
      </c>
      <c r="AA550" s="101">
        <f t="shared" si="638"/>
        <v>0</v>
      </c>
      <c r="AB550" s="688">
        <f t="shared" si="639"/>
        <v>0</v>
      </c>
      <c r="AC550" s="689"/>
    </row>
    <row r="551" spans="3:29" x14ac:dyDescent="0.2">
      <c r="C551" s="95">
        <v>471</v>
      </c>
      <c r="D551" s="101" t="str">
        <f t="shared" si="624"/>
        <v>$0.00</v>
      </c>
      <c r="E551" s="101" t="str">
        <f t="shared" si="625"/>
        <v>$0.00</v>
      </c>
      <c r="F551" s="101" t="str">
        <f t="shared" si="626"/>
        <v>$0.00</v>
      </c>
      <c r="G551" s="688" t="str">
        <f t="shared" si="627"/>
        <v>$0.00</v>
      </c>
      <c r="H551" s="689"/>
      <c r="J551" s="95">
        <v>471</v>
      </c>
      <c r="K551" s="96">
        <f t="shared" si="628"/>
        <v>0</v>
      </c>
      <c r="L551" s="96">
        <f t="shared" si="629"/>
        <v>0</v>
      </c>
      <c r="M551" s="96">
        <f t="shared" si="630"/>
        <v>0</v>
      </c>
      <c r="N551" s="688">
        <f t="shared" si="631"/>
        <v>0</v>
      </c>
      <c r="O551" s="689"/>
      <c r="Q551" s="95">
        <v>471</v>
      </c>
      <c r="R551" s="101" t="str">
        <f t="shared" si="632"/>
        <v>$0.00</v>
      </c>
      <c r="S551" s="101" t="str">
        <f t="shared" si="633"/>
        <v>$0.00</v>
      </c>
      <c r="T551" s="101" t="str">
        <f t="shared" si="634"/>
        <v>$0.00</v>
      </c>
      <c r="U551" s="688" t="str">
        <f t="shared" si="635"/>
        <v>$0.00</v>
      </c>
      <c r="V551" s="689"/>
      <c r="X551" s="95">
        <v>471</v>
      </c>
      <c r="Y551" s="101" t="str">
        <f t="shared" si="636"/>
        <v>$0.00</v>
      </c>
      <c r="Z551" s="101" t="str">
        <f t="shared" si="637"/>
        <v>$0.00</v>
      </c>
      <c r="AA551" s="101" t="str">
        <f t="shared" si="638"/>
        <v>$0.00</v>
      </c>
      <c r="AB551" s="688" t="str">
        <f t="shared" si="639"/>
        <v>$0.00</v>
      </c>
      <c r="AC551" s="689"/>
    </row>
    <row r="552" spans="3:29" x14ac:dyDescent="0.2">
      <c r="C552" s="95">
        <v>472</v>
      </c>
      <c r="D552" s="101">
        <f t="shared" si="624"/>
        <v>0</v>
      </c>
      <c r="E552" s="101">
        <f t="shared" si="625"/>
        <v>0</v>
      </c>
      <c r="F552" s="101">
        <f t="shared" si="626"/>
        <v>0</v>
      </c>
      <c r="G552" s="688">
        <f t="shared" si="627"/>
        <v>0</v>
      </c>
      <c r="H552" s="689"/>
      <c r="J552" s="95">
        <v>472</v>
      </c>
      <c r="K552" s="96">
        <f t="shared" si="628"/>
        <v>0</v>
      </c>
      <c r="L552" s="96">
        <f t="shared" si="629"/>
        <v>0</v>
      </c>
      <c r="M552" s="96">
        <f t="shared" si="630"/>
        <v>0</v>
      </c>
      <c r="N552" s="688">
        <f t="shared" si="631"/>
        <v>0</v>
      </c>
      <c r="O552" s="689"/>
      <c r="Q552" s="95">
        <v>472</v>
      </c>
      <c r="R552" s="101">
        <f t="shared" si="632"/>
        <v>0</v>
      </c>
      <c r="S552" s="101">
        <f t="shared" si="633"/>
        <v>0</v>
      </c>
      <c r="T552" s="101">
        <f t="shared" si="634"/>
        <v>0</v>
      </c>
      <c r="U552" s="688">
        <f t="shared" si="635"/>
        <v>0</v>
      </c>
      <c r="V552" s="689"/>
      <c r="X552" s="95">
        <v>472</v>
      </c>
      <c r="Y552" s="101">
        <f t="shared" si="636"/>
        <v>0</v>
      </c>
      <c r="Z552" s="101">
        <f t="shared" si="637"/>
        <v>0</v>
      </c>
      <c r="AA552" s="101">
        <f t="shared" si="638"/>
        <v>0</v>
      </c>
      <c r="AB552" s="688">
        <f t="shared" si="639"/>
        <v>0</v>
      </c>
      <c r="AC552" s="689"/>
    </row>
    <row r="553" spans="3:29" x14ac:dyDescent="0.2">
      <c r="C553" s="95">
        <v>473</v>
      </c>
      <c r="D553" s="101" t="str">
        <f t="shared" si="624"/>
        <v>$0.00</v>
      </c>
      <c r="E553" s="101" t="str">
        <f t="shared" si="625"/>
        <v>$0.00</v>
      </c>
      <c r="F553" s="101" t="str">
        <f t="shared" si="626"/>
        <v>$0.00</v>
      </c>
      <c r="G553" s="688" t="str">
        <f t="shared" si="627"/>
        <v>$0.00</v>
      </c>
      <c r="H553" s="689"/>
      <c r="J553" s="95">
        <v>473</v>
      </c>
      <c r="K553" s="96">
        <f t="shared" si="628"/>
        <v>0</v>
      </c>
      <c r="L553" s="96">
        <f t="shared" si="629"/>
        <v>0</v>
      </c>
      <c r="M553" s="96">
        <f t="shared" si="630"/>
        <v>0</v>
      </c>
      <c r="N553" s="688">
        <f t="shared" si="631"/>
        <v>0</v>
      </c>
      <c r="O553" s="689"/>
      <c r="Q553" s="95">
        <v>473</v>
      </c>
      <c r="R553" s="101" t="str">
        <f t="shared" si="632"/>
        <v>$0.00</v>
      </c>
      <c r="S553" s="101" t="str">
        <f t="shared" si="633"/>
        <v>$0.00</v>
      </c>
      <c r="T553" s="101" t="str">
        <f t="shared" si="634"/>
        <v>$0.00</v>
      </c>
      <c r="U553" s="688" t="str">
        <f t="shared" si="635"/>
        <v>$0.00</v>
      </c>
      <c r="V553" s="689"/>
      <c r="X553" s="95">
        <v>473</v>
      </c>
      <c r="Y553" s="101" t="str">
        <f t="shared" si="636"/>
        <v>$0.00</v>
      </c>
      <c r="Z553" s="101" t="str">
        <f t="shared" si="637"/>
        <v>$0.00</v>
      </c>
      <c r="AA553" s="101" t="str">
        <f t="shared" si="638"/>
        <v>$0.00</v>
      </c>
      <c r="AB553" s="688" t="str">
        <f t="shared" si="639"/>
        <v>$0.00</v>
      </c>
      <c r="AC553" s="689"/>
    </row>
    <row r="554" spans="3:29" x14ac:dyDescent="0.2">
      <c r="C554" s="95">
        <v>474</v>
      </c>
      <c r="D554" s="101">
        <f t="shared" si="624"/>
        <v>0</v>
      </c>
      <c r="E554" s="101">
        <f t="shared" si="625"/>
        <v>0</v>
      </c>
      <c r="F554" s="101">
        <f t="shared" si="626"/>
        <v>0</v>
      </c>
      <c r="G554" s="688">
        <f t="shared" si="627"/>
        <v>0</v>
      </c>
      <c r="H554" s="689"/>
      <c r="J554" s="95">
        <v>474</v>
      </c>
      <c r="K554" s="96">
        <f t="shared" si="628"/>
        <v>0</v>
      </c>
      <c r="L554" s="96">
        <f t="shared" si="629"/>
        <v>0</v>
      </c>
      <c r="M554" s="96">
        <f t="shared" si="630"/>
        <v>0</v>
      </c>
      <c r="N554" s="688">
        <f t="shared" si="631"/>
        <v>0</v>
      </c>
      <c r="O554" s="689"/>
      <c r="Q554" s="95">
        <v>474</v>
      </c>
      <c r="R554" s="101">
        <f t="shared" si="632"/>
        <v>0</v>
      </c>
      <c r="S554" s="101">
        <f t="shared" si="633"/>
        <v>0</v>
      </c>
      <c r="T554" s="101">
        <f t="shared" si="634"/>
        <v>0</v>
      </c>
      <c r="U554" s="688">
        <f t="shared" si="635"/>
        <v>0</v>
      </c>
      <c r="V554" s="689"/>
      <c r="X554" s="95">
        <v>474</v>
      </c>
      <c r="Y554" s="101">
        <f t="shared" si="636"/>
        <v>0</v>
      </c>
      <c r="Z554" s="101">
        <f t="shared" si="637"/>
        <v>0</v>
      </c>
      <c r="AA554" s="101">
        <f t="shared" si="638"/>
        <v>0</v>
      </c>
      <c r="AB554" s="688">
        <f t="shared" si="639"/>
        <v>0</v>
      </c>
      <c r="AC554" s="689"/>
    </row>
    <row r="555" spans="3:29" x14ac:dyDescent="0.2">
      <c r="C555" s="95">
        <v>475</v>
      </c>
      <c r="D555" s="101" t="str">
        <f t="shared" si="624"/>
        <v>$0.00</v>
      </c>
      <c r="E555" s="101" t="str">
        <f t="shared" si="625"/>
        <v>$0.00</v>
      </c>
      <c r="F555" s="101" t="str">
        <f t="shared" si="626"/>
        <v>$0.00</v>
      </c>
      <c r="G555" s="688" t="str">
        <f t="shared" si="627"/>
        <v>$0.00</v>
      </c>
      <c r="H555" s="689"/>
      <c r="J555" s="95">
        <v>475</v>
      </c>
      <c r="K555" s="96">
        <f t="shared" si="628"/>
        <v>0</v>
      </c>
      <c r="L555" s="96">
        <f t="shared" si="629"/>
        <v>0</v>
      </c>
      <c r="M555" s="96">
        <f t="shared" si="630"/>
        <v>0</v>
      </c>
      <c r="N555" s="688">
        <f t="shared" si="631"/>
        <v>0</v>
      </c>
      <c r="O555" s="689"/>
      <c r="Q555" s="95">
        <v>475</v>
      </c>
      <c r="R555" s="101" t="str">
        <f t="shared" si="632"/>
        <v>$0.00</v>
      </c>
      <c r="S555" s="101" t="str">
        <f t="shared" si="633"/>
        <v>$0.00</v>
      </c>
      <c r="T555" s="101" t="str">
        <f t="shared" si="634"/>
        <v>$0.00</v>
      </c>
      <c r="U555" s="688" t="str">
        <f t="shared" si="635"/>
        <v>$0.00</v>
      </c>
      <c r="V555" s="689"/>
      <c r="X555" s="95">
        <v>475</v>
      </c>
      <c r="Y555" s="101" t="str">
        <f t="shared" si="636"/>
        <v>$0.00</v>
      </c>
      <c r="Z555" s="101" t="str">
        <f t="shared" si="637"/>
        <v>$0.00</v>
      </c>
      <c r="AA555" s="101" t="str">
        <f t="shared" si="638"/>
        <v>$0.00</v>
      </c>
      <c r="AB555" s="688" t="str">
        <f t="shared" si="639"/>
        <v>$0.00</v>
      </c>
      <c r="AC555" s="689"/>
    </row>
    <row r="556" spans="3:29" x14ac:dyDescent="0.2">
      <c r="C556" s="95">
        <v>476</v>
      </c>
      <c r="D556" s="101">
        <f t="shared" si="624"/>
        <v>0</v>
      </c>
      <c r="E556" s="101">
        <f t="shared" si="625"/>
        <v>0</v>
      </c>
      <c r="F556" s="101">
        <f t="shared" si="626"/>
        <v>0</v>
      </c>
      <c r="G556" s="688">
        <f t="shared" si="627"/>
        <v>0</v>
      </c>
      <c r="H556" s="689"/>
      <c r="J556" s="95">
        <v>476</v>
      </c>
      <c r="K556" s="96">
        <f t="shared" si="628"/>
        <v>0</v>
      </c>
      <c r="L556" s="96">
        <f t="shared" si="629"/>
        <v>0</v>
      </c>
      <c r="M556" s="96">
        <f t="shared" si="630"/>
        <v>0</v>
      </c>
      <c r="N556" s="688">
        <f t="shared" si="631"/>
        <v>0</v>
      </c>
      <c r="O556" s="689"/>
      <c r="Q556" s="95">
        <v>476</v>
      </c>
      <c r="R556" s="101">
        <f t="shared" si="632"/>
        <v>0</v>
      </c>
      <c r="S556" s="101">
        <f t="shared" si="633"/>
        <v>0</v>
      </c>
      <c r="T556" s="101">
        <f t="shared" si="634"/>
        <v>0</v>
      </c>
      <c r="U556" s="688">
        <f t="shared" si="635"/>
        <v>0</v>
      </c>
      <c r="V556" s="689"/>
      <c r="X556" s="95">
        <v>476</v>
      </c>
      <c r="Y556" s="101">
        <f t="shared" si="636"/>
        <v>0</v>
      </c>
      <c r="Z556" s="101">
        <f t="shared" si="637"/>
        <v>0</v>
      </c>
      <c r="AA556" s="101">
        <f t="shared" si="638"/>
        <v>0</v>
      </c>
      <c r="AB556" s="688">
        <f t="shared" si="639"/>
        <v>0</v>
      </c>
      <c r="AC556" s="689"/>
    </row>
    <row r="557" spans="3:29" x14ac:dyDescent="0.2">
      <c r="C557" s="95">
        <v>477</v>
      </c>
      <c r="D557" s="101" t="str">
        <f t="shared" si="624"/>
        <v>$0.00</v>
      </c>
      <c r="E557" s="101" t="str">
        <f t="shared" si="625"/>
        <v>$0.00</v>
      </c>
      <c r="F557" s="101" t="str">
        <f t="shared" si="626"/>
        <v>$0.00</v>
      </c>
      <c r="G557" s="688" t="str">
        <f t="shared" si="627"/>
        <v>$0.00</v>
      </c>
      <c r="H557" s="689"/>
      <c r="J557" s="95">
        <v>477</v>
      </c>
      <c r="K557" s="96">
        <f t="shared" si="628"/>
        <v>0</v>
      </c>
      <c r="L557" s="96">
        <f t="shared" si="629"/>
        <v>0</v>
      </c>
      <c r="M557" s="96">
        <f t="shared" si="630"/>
        <v>0</v>
      </c>
      <c r="N557" s="688">
        <f t="shared" si="631"/>
        <v>0</v>
      </c>
      <c r="O557" s="689"/>
      <c r="Q557" s="95">
        <v>477</v>
      </c>
      <c r="R557" s="101" t="str">
        <f t="shared" si="632"/>
        <v>$0.00</v>
      </c>
      <c r="S557" s="101" t="str">
        <f t="shared" si="633"/>
        <v>$0.00</v>
      </c>
      <c r="T557" s="101" t="str">
        <f t="shared" si="634"/>
        <v>$0.00</v>
      </c>
      <c r="U557" s="688" t="str">
        <f t="shared" si="635"/>
        <v>$0.00</v>
      </c>
      <c r="V557" s="689"/>
      <c r="X557" s="95">
        <v>477</v>
      </c>
      <c r="Y557" s="101" t="str">
        <f t="shared" si="636"/>
        <v>$0.00</v>
      </c>
      <c r="Z557" s="101" t="str">
        <f t="shared" si="637"/>
        <v>$0.00</v>
      </c>
      <c r="AA557" s="101" t="str">
        <f t="shared" si="638"/>
        <v>$0.00</v>
      </c>
      <c r="AB557" s="688" t="str">
        <f t="shared" si="639"/>
        <v>$0.00</v>
      </c>
      <c r="AC557" s="689"/>
    </row>
    <row r="558" spans="3:29" x14ac:dyDescent="0.2">
      <c r="C558" s="95">
        <v>478</v>
      </c>
      <c r="D558" s="101">
        <f t="shared" si="624"/>
        <v>0</v>
      </c>
      <c r="E558" s="101">
        <f t="shared" si="625"/>
        <v>0</v>
      </c>
      <c r="F558" s="101">
        <f t="shared" si="626"/>
        <v>0</v>
      </c>
      <c r="G558" s="688">
        <f t="shared" si="627"/>
        <v>0</v>
      </c>
      <c r="H558" s="689"/>
      <c r="J558" s="95">
        <v>478</v>
      </c>
      <c r="K558" s="96">
        <f t="shared" si="628"/>
        <v>0</v>
      </c>
      <c r="L558" s="96">
        <f t="shared" si="629"/>
        <v>0</v>
      </c>
      <c r="M558" s="96">
        <f t="shared" si="630"/>
        <v>0</v>
      </c>
      <c r="N558" s="688">
        <f t="shared" si="631"/>
        <v>0</v>
      </c>
      <c r="O558" s="689"/>
      <c r="Q558" s="95">
        <v>478</v>
      </c>
      <c r="R558" s="101">
        <f t="shared" si="632"/>
        <v>0</v>
      </c>
      <c r="S558" s="101">
        <f t="shared" si="633"/>
        <v>0</v>
      </c>
      <c r="T558" s="101">
        <f t="shared" si="634"/>
        <v>0</v>
      </c>
      <c r="U558" s="688">
        <f t="shared" si="635"/>
        <v>0</v>
      </c>
      <c r="V558" s="689"/>
      <c r="X558" s="95">
        <v>478</v>
      </c>
      <c r="Y558" s="101">
        <f t="shared" si="636"/>
        <v>0</v>
      </c>
      <c r="Z558" s="101">
        <f t="shared" si="637"/>
        <v>0</v>
      </c>
      <c r="AA558" s="101">
        <f t="shared" si="638"/>
        <v>0</v>
      </c>
      <c r="AB558" s="688">
        <f t="shared" si="639"/>
        <v>0</v>
      </c>
      <c r="AC558" s="689"/>
    </row>
    <row r="559" spans="3:29" x14ac:dyDescent="0.2">
      <c r="C559" s="95">
        <v>479</v>
      </c>
      <c r="D559" s="101" t="str">
        <f t="shared" si="624"/>
        <v>$0.00</v>
      </c>
      <c r="E559" s="101" t="str">
        <f t="shared" si="625"/>
        <v>$0.00</v>
      </c>
      <c r="F559" s="101" t="str">
        <f t="shared" si="626"/>
        <v>$0.00</v>
      </c>
      <c r="G559" s="688" t="str">
        <f t="shared" si="627"/>
        <v>$0.00</v>
      </c>
      <c r="H559" s="689"/>
      <c r="J559" s="95">
        <v>479</v>
      </c>
      <c r="K559" s="96">
        <f t="shared" si="628"/>
        <v>0</v>
      </c>
      <c r="L559" s="96">
        <f t="shared" si="629"/>
        <v>0</v>
      </c>
      <c r="M559" s="96">
        <f t="shared" si="630"/>
        <v>0</v>
      </c>
      <c r="N559" s="688">
        <f t="shared" si="631"/>
        <v>0</v>
      </c>
      <c r="O559" s="689"/>
      <c r="Q559" s="95">
        <v>479</v>
      </c>
      <c r="R559" s="101" t="str">
        <f t="shared" si="632"/>
        <v>$0.00</v>
      </c>
      <c r="S559" s="101" t="str">
        <f t="shared" si="633"/>
        <v>$0.00</v>
      </c>
      <c r="T559" s="101" t="str">
        <f t="shared" si="634"/>
        <v>$0.00</v>
      </c>
      <c r="U559" s="688" t="str">
        <f t="shared" si="635"/>
        <v>$0.00</v>
      </c>
      <c r="V559" s="689"/>
      <c r="X559" s="95">
        <v>479</v>
      </c>
      <c r="Y559" s="101" t="str">
        <f t="shared" si="636"/>
        <v>$0.00</v>
      </c>
      <c r="Z559" s="101" t="str">
        <f t="shared" si="637"/>
        <v>$0.00</v>
      </c>
      <c r="AA559" s="101" t="str">
        <f t="shared" si="638"/>
        <v>$0.00</v>
      </c>
      <c r="AB559" s="688" t="str">
        <f t="shared" si="639"/>
        <v>$0.00</v>
      </c>
      <c r="AC559" s="689"/>
    </row>
    <row r="560" spans="3:29" x14ac:dyDescent="0.2">
      <c r="C560" s="95">
        <v>480</v>
      </c>
      <c r="D560" s="101">
        <f t="shared" si="624"/>
        <v>0</v>
      </c>
      <c r="E560" s="101">
        <f t="shared" si="625"/>
        <v>0</v>
      </c>
      <c r="F560" s="101">
        <f t="shared" si="626"/>
        <v>0</v>
      </c>
      <c r="G560" s="690">
        <f t="shared" si="627"/>
        <v>0</v>
      </c>
      <c r="H560" s="691"/>
      <c r="J560" s="95">
        <v>480</v>
      </c>
      <c r="K560" s="96">
        <f t="shared" si="628"/>
        <v>0</v>
      </c>
      <c r="L560" s="96">
        <f t="shared" si="629"/>
        <v>0</v>
      </c>
      <c r="M560" s="96">
        <f t="shared" si="630"/>
        <v>0</v>
      </c>
      <c r="N560" s="690">
        <f t="shared" si="631"/>
        <v>0</v>
      </c>
      <c r="O560" s="691"/>
      <c r="Q560" s="95">
        <v>480</v>
      </c>
      <c r="R560" s="101">
        <f t="shared" si="632"/>
        <v>0</v>
      </c>
      <c r="S560" s="101">
        <f t="shared" si="633"/>
        <v>0</v>
      </c>
      <c r="T560" s="101">
        <f t="shared" si="634"/>
        <v>0</v>
      </c>
      <c r="U560" s="690">
        <f t="shared" si="635"/>
        <v>0</v>
      </c>
      <c r="V560" s="691"/>
      <c r="X560" s="95">
        <v>480</v>
      </c>
      <c r="Y560" s="101">
        <f t="shared" si="636"/>
        <v>0</v>
      </c>
      <c r="Z560" s="101">
        <f t="shared" si="637"/>
        <v>0</v>
      </c>
      <c r="AA560" s="101">
        <f t="shared" si="638"/>
        <v>0</v>
      </c>
      <c r="AB560" s="690">
        <f t="shared" si="639"/>
        <v>0</v>
      </c>
      <c r="AC560" s="691"/>
    </row>
    <row r="561" spans="3:29" x14ac:dyDescent="0.2">
      <c r="C561" s="97" t="s">
        <v>831</v>
      </c>
      <c r="D561" s="86">
        <f>SUM(D549:D560)</f>
        <v>0</v>
      </c>
      <c r="E561" s="86">
        <f>SUM(E549:E560)</f>
        <v>0</v>
      </c>
      <c r="F561" s="86">
        <f>SUM(F549:F560)</f>
        <v>0</v>
      </c>
      <c r="G561" s="692">
        <f>G560</f>
        <v>0</v>
      </c>
      <c r="H561" s="693"/>
      <c r="J561" s="97" t="s">
        <v>831</v>
      </c>
      <c r="K561" s="86">
        <f>SUM(K549:K560)</f>
        <v>0</v>
      </c>
      <c r="L561" s="86">
        <f>SUM(L549:L560)</f>
        <v>0</v>
      </c>
      <c r="M561" s="86">
        <f>SUM(M549:M560)</f>
        <v>0</v>
      </c>
      <c r="N561" s="692">
        <f>N560</f>
        <v>0</v>
      </c>
      <c r="O561" s="711"/>
      <c r="Q561" s="97" t="s">
        <v>831</v>
      </c>
      <c r="R561" s="86">
        <f>SUM(R549:R560)</f>
        <v>0</v>
      </c>
      <c r="S561" s="86">
        <f>SUM(S549:S560)</f>
        <v>0</v>
      </c>
      <c r="T561" s="86">
        <f>SUM(T549:T560)</f>
        <v>0</v>
      </c>
      <c r="U561" s="692">
        <f>U560</f>
        <v>0</v>
      </c>
      <c r="V561" s="693"/>
      <c r="X561" s="97" t="s">
        <v>831</v>
      </c>
      <c r="Y561" s="86">
        <f>SUM(Y549:Y560)</f>
        <v>0</v>
      </c>
      <c r="Z561" s="86">
        <f>SUM(Z549:Z560)</f>
        <v>0</v>
      </c>
      <c r="AA561" s="86">
        <f>SUM(AA549:AA560)</f>
        <v>0</v>
      </c>
      <c r="AB561" s="692">
        <f>AB560</f>
        <v>0</v>
      </c>
      <c r="AC561" s="693"/>
    </row>
  </sheetData>
  <sheetProtection algorithmName="SHA-512" hashValue="TQa/Gb86L35y09zUpXC576W8za5MYIrbZBwS2x5ltDu1I8Y5ZBu+wlKwqFaGZks5LolWLlW2yX4VclktRfA0GQ==" saltValue="BCk01OIr65ypm5E8iEYykw==" spinCount="100000" sheet="1" objects="1" scenarios="1"/>
  <mergeCells count="2127">
    <mergeCell ref="AB509:AC509"/>
    <mergeCell ref="AB502:AC502"/>
    <mergeCell ref="AB503:AC503"/>
    <mergeCell ref="AB504:AC504"/>
    <mergeCell ref="AB514:AC514"/>
    <mergeCell ref="AB515:AC515"/>
    <mergeCell ref="AB542:AC542"/>
    <mergeCell ref="AB543:AC543"/>
    <mergeCell ref="AB550:AC550"/>
    <mergeCell ref="AB532:AC532"/>
    <mergeCell ref="AB533:AC533"/>
    <mergeCell ref="AB534:AC534"/>
    <mergeCell ref="AB535:AC535"/>
    <mergeCell ref="AB536:AC536"/>
    <mergeCell ref="AB537:AC537"/>
    <mergeCell ref="AB516:AC516"/>
    <mergeCell ref="AB517:AC517"/>
    <mergeCell ref="S32:T32"/>
    <mergeCell ref="S1:W1"/>
    <mergeCell ref="AB552:AC552"/>
    <mergeCell ref="AB553:AC553"/>
    <mergeCell ref="AB538:AC538"/>
    <mergeCell ref="AB539:AC539"/>
    <mergeCell ref="AB540:AC540"/>
    <mergeCell ref="AB541:AC541"/>
    <mergeCell ref="AB530:AC530"/>
    <mergeCell ref="AB531:AC531"/>
    <mergeCell ref="AA11:AC18"/>
    <mergeCell ref="X32:Y32"/>
    <mergeCell ref="AB499:AC499"/>
    <mergeCell ref="AB500:AC500"/>
    <mergeCell ref="AB501:AC501"/>
    <mergeCell ref="AB494:AC494"/>
    <mergeCell ref="AB495:AC495"/>
    <mergeCell ref="AB496:AC496"/>
    <mergeCell ref="AB497:AC497"/>
    <mergeCell ref="AB490:AC490"/>
    <mergeCell ref="AB491:AC491"/>
    <mergeCell ref="AB492:AC492"/>
    <mergeCell ref="AB493:AC493"/>
    <mergeCell ref="AB510:AC510"/>
    <mergeCell ref="AB511:AC511"/>
    <mergeCell ref="AB512:AC512"/>
    <mergeCell ref="AB513:AC513"/>
    <mergeCell ref="AB506:AC506"/>
    <mergeCell ref="AB507:AC507"/>
    <mergeCell ref="AB508:AC508"/>
    <mergeCell ref="AB561:AC561"/>
    <mergeCell ref="AB554:AC554"/>
    <mergeCell ref="AB555:AC555"/>
    <mergeCell ref="AB556:AC556"/>
    <mergeCell ref="AB557:AC557"/>
    <mergeCell ref="AB558:AC558"/>
    <mergeCell ref="AB559:AC559"/>
    <mergeCell ref="AB560:AC560"/>
    <mergeCell ref="AB526:AC526"/>
    <mergeCell ref="AB527:AC527"/>
    <mergeCell ref="AB528:AC528"/>
    <mergeCell ref="AB529:AC529"/>
    <mergeCell ref="AB522:AC522"/>
    <mergeCell ref="AB523:AC523"/>
    <mergeCell ref="AB524:AC524"/>
    <mergeCell ref="AB525:AC525"/>
    <mergeCell ref="AB518:AC518"/>
    <mergeCell ref="AB519:AC519"/>
    <mergeCell ref="AB520:AC520"/>
    <mergeCell ref="AB521:AC521"/>
    <mergeCell ref="AB551:AC551"/>
    <mergeCell ref="AB548:AC548"/>
    <mergeCell ref="AB549:AC549"/>
    <mergeCell ref="AB544:AC544"/>
    <mergeCell ref="AB545:AC545"/>
    <mergeCell ref="AB546:AC546"/>
    <mergeCell ref="AB547:AC547"/>
    <mergeCell ref="AB486:AC486"/>
    <mergeCell ref="AB487:AC487"/>
    <mergeCell ref="AB488:AC488"/>
    <mergeCell ref="AB489:AC489"/>
    <mergeCell ref="AB505:AC505"/>
    <mergeCell ref="AB498:AC498"/>
    <mergeCell ref="AB482:AC482"/>
    <mergeCell ref="AB483:AC483"/>
    <mergeCell ref="AB484:AC484"/>
    <mergeCell ref="AB485:AC485"/>
    <mergeCell ref="AB478:AC478"/>
    <mergeCell ref="AB479:AC479"/>
    <mergeCell ref="AB480:AC480"/>
    <mergeCell ref="AB481:AC481"/>
    <mergeCell ref="AB474:AC474"/>
    <mergeCell ref="AB475:AC475"/>
    <mergeCell ref="AB476:AC476"/>
    <mergeCell ref="AB477:AC477"/>
    <mergeCell ref="AB470:AC470"/>
    <mergeCell ref="AB471:AC471"/>
    <mergeCell ref="AB472:AC472"/>
    <mergeCell ref="AB473:AC473"/>
    <mergeCell ref="AB466:AC466"/>
    <mergeCell ref="AB467:AC467"/>
    <mergeCell ref="AB468:AC468"/>
    <mergeCell ref="AB469:AC469"/>
    <mergeCell ref="AB462:AC462"/>
    <mergeCell ref="AB463:AC463"/>
    <mergeCell ref="AB464:AC464"/>
    <mergeCell ref="AB465:AC465"/>
    <mergeCell ref="AB458:AC458"/>
    <mergeCell ref="AB459:AC459"/>
    <mergeCell ref="AB460:AC460"/>
    <mergeCell ref="AB461:AC461"/>
    <mergeCell ref="AB454:AC454"/>
    <mergeCell ref="AB455:AC455"/>
    <mergeCell ref="AB456:AC456"/>
    <mergeCell ref="AB457:AC457"/>
    <mergeCell ref="AB450:AC450"/>
    <mergeCell ref="AB451:AC451"/>
    <mergeCell ref="AB452:AC452"/>
    <mergeCell ref="AB453:AC453"/>
    <mergeCell ref="AB446:AC446"/>
    <mergeCell ref="AB447:AC447"/>
    <mergeCell ref="AB448:AC448"/>
    <mergeCell ref="AB449:AC449"/>
    <mergeCell ref="AB442:AC442"/>
    <mergeCell ref="AB443:AC443"/>
    <mergeCell ref="AB444:AC444"/>
    <mergeCell ref="AB445:AC445"/>
    <mergeCell ref="AB438:AC438"/>
    <mergeCell ref="AB439:AC439"/>
    <mergeCell ref="AB440:AC440"/>
    <mergeCell ref="AB441:AC441"/>
    <mergeCell ref="AB434:AC434"/>
    <mergeCell ref="AB435:AC435"/>
    <mergeCell ref="AB436:AC436"/>
    <mergeCell ref="AB437:AC437"/>
    <mergeCell ref="AB430:AC430"/>
    <mergeCell ref="AB431:AC431"/>
    <mergeCell ref="AB432:AC432"/>
    <mergeCell ref="AB433:AC433"/>
    <mergeCell ref="AB426:AC426"/>
    <mergeCell ref="AB427:AC427"/>
    <mergeCell ref="AB428:AC428"/>
    <mergeCell ref="AB429:AC429"/>
    <mergeCell ref="AB422:AC422"/>
    <mergeCell ref="AB423:AC423"/>
    <mergeCell ref="AB424:AC424"/>
    <mergeCell ref="AB425:AC425"/>
    <mergeCell ref="AB418:AC418"/>
    <mergeCell ref="AB419:AC419"/>
    <mergeCell ref="AB420:AC420"/>
    <mergeCell ref="AB421:AC421"/>
    <mergeCell ref="AB414:AC414"/>
    <mergeCell ref="AB415:AC415"/>
    <mergeCell ref="AB416:AC416"/>
    <mergeCell ref="AB417:AC417"/>
    <mergeCell ref="AB410:AC410"/>
    <mergeCell ref="AB411:AC411"/>
    <mergeCell ref="AB412:AC412"/>
    <mergeCell ref="AB413:AC413"/>
    <mergeCell ref="AB406:AC406"/>
    <mergeCell ref="AB407:AC407"/>
    <mergeCell ref="AB408:AC408"/>
    <mergeCell ref="AB409:AC409"/>
    <mergeCell ref="AB402:AC402"/>
    <mergeCell ref="AB403:AC403"/>
    <mergeCell ref="AB404:AC404"/>
    <mergeCell ref="AB405:AC405"/>
    <mergeCell ref="AB398:AC398"/>
    <mergeCell ref="AB399:AC399"/>
    <mergeCell ref="AB400:AC400"/>
    <mergeCell ref="AB401:AC401"/>
    <mergeCell ref="AB394:AC394"/>
    <mergeCell ref="AB395:AC395"/>
    <mergeCell ref="AB396:AC396"/>
    <mergeCell ref="AB397:AC397"/>
    <mergeCell ref="AB390:AC390"/>
    <mergeCell ref="AB391:AC391"/>
    <mergeCell ref="AB392:AC392"/>
    <mergeCell ref="AB393:AC393"/>
    <mergeCell ref="AB386:AC386"/>
    <mergeCell ref="AB387:AC387"/>
    <mergeCell ref="AB388:AC388"/>
    <mergeCell ref="AB389:AC389"/>
    <mergeCell ref="AB382:AC382"/>
    <mergeCell ref="AB383:AC383"/>
    <mergeCell ref="AB384:AC384"/>
    <mergeCell ref="AB385:AC385"/>
    <mergeCell ref="AB378:AC378"/>
    <mergeCell ref="AB379:AC379"/>
    <mergeCell ref="AB380:AC380"/>
    <mergeCell ref="AB381:AC381"/>
    <mergeCell ref="AB374:AC374"/>
    <mergeCell ref="AB375:AC375"/>
    <mergeCell ref="AB376:AC376"/>
    <mergeCell ref="AB377:AC377"/>
    <mergeCell ref="AB370:AC370"/>
    <mergeCell ref="AB371:AC371"/>
    <mergeCell ref="AB372:AC372"/>
    <mergeCell ref="AB373:AC373"/>
    <mergeCell ref="AB366:AC366"/>
    <mergeCell ref="AB367:AC367"/>
    <mergeCell ref="AB368:AC368"/>
    <mergeCell ref="AB369:AC369"/>
    <mergeCell ref="AB362:AC362"/>
    <mergeCell ref="AB363:AC363"/>
    <mergeCell ref="AB364:AC364"/>
    <mergeCell ref="AB365:AC365"/>
    <mergeCell ref="AB358:AC358"/>
    <mergeCell ref="AB359:AC359"/>
    <mergeCell ref="AB360:AC360"/>
    <mergeCell ref="AB361:AC361"/>
    <mergeCell ref="AB354:AC354"/>
    <mergeCell ref="AB355:AC355"/>
    <mergeCell ref="AB356:AC356"/>
    <mergeCell ref="AB357:AC357"/>
    <mergeCell ref="AB350:AC350"/>
    <mergeCell ref="AB351:AC351"/>
    <mergeCell ref="AB352:AC352"/>
    <mergeCell ref="AB353:AC353"/>
    <mergeCell ref="AB346:AC346"/>
    <mergeCell ref="AB347:AC347"/>
    <mergeCell ref="AB348:AC348"/>
    <mergeCell ref="AB349:AC349"/>
    <mergeCell ref="AB342:AC342"/>
    <mergeCell ref="AB343:AC343"/>
    <mergeCell ref="AB344:AC344"/>
    <mergeCell ref="AB345:AC345"/>
    <mergeCell ref="AB338:AC338"/>
    <mergeCell ref="AB339:AC339"/>
    <mergeCell ref="AB340:AC340"/>
    <mergeCell ref="AB341:AC341"/>
    <mergeCell ref="AB334:AC334"/>
    <mergeCell ref="AB335:AC335"/>
    <mergeCell ref="AB336:AC336"/>
    <mergeCell ref="AB337:AC337"/>
    <mergeCell ref="AB330:AC330"/>
    <mergeCell ref="AB331:AC331"/>
    <mergeCell ref="AB332:AC332"/>
    <mergeCell ref="AB333:AC333"/>
    <mergeCell ref="AB326:AC326"/>
    <mergeCell ref="AB327:AC327"/>
    <mergeCell ref="AB328:AC328"/>
    <mergeCell ref="AB329:AC329"/>
    <mergeCell ref="AB322:AC322"/>
    <mergeCell ref="AB323:AC323"/>
    <mergeCell ref="AB324:AC324"/>
    <mergeCell ref="AB325:AC325"/>
    <mergeCell ref="AB318:AC318"/>
    <mergeCell ref="AB319:AC319"/>
    <mergeCell ref="AB320:AC320"/>
    <mergeCell ref="AB321:AC321"/>
    <mergeCell ref="AB314:AC314"/>
    <mergeCell ref="AB315:AC315"/>
    <mergeCell ref="AB316:AC316"/>
    <mergeCell ref="AB317:AC317"/>
    <mergeCell ref="AB310:AC310"/>
    <mergeCell ref="AB311:AC311"/>
    <mergeCell ref="AB312:AC312"/>
    <mergeCell ref="AB313:AC313"/>
    <mergeCell ref="AB306:AC306"/>
    <mergeCell ref="AB307:AC307"/>
    <mergeCell ref="AB308:AC308"/>
    <mergeCell ref="AB309:AC309"/>
    <mergeCell ref="AB302:AC302"/>
    <mergeCell ref="AB303:AC303"/>
    <mergeCell ref="AB304:AC304"/>
    <mergeCell ref="AB305:AC305"/>
    <mergeCell ref="AB298:AC298"/>
    <mergeCell ref="AB299:AC299"/>
    <mergeCell ref="AB300:AC300"/>
    <mergeCell ref="AB301:AC301"/>
    <mergeCell ref="AB294:AC294"/>
    <mergeCell ref="AB295:AC295"/>
    <mergeCell ref="AB296:AC296"/>
    <mergeCell ref="AB297:AC297"/>
    <mergeCell ref="AB290:AC290"/>
    <mergeCell ref="AB291:AC291"/>
    <mergeCell ref="AB292:AC292"/>
    <mergeCell ref="AB293:AC293"/>
    <mergeCell ref="AB286:AC286"/>
    <mergeCell ref="AB287:AC287"/>
    <mergeCell ref="AB288:AC288"/>
    <mergeCell ref="AB289:AC289"/>
    <mergeCell ref="AB282:AC282"/>
    <mergeCell ref="AB283:AC283"/>
    <mergeCell ref="AB284:AC284"/>
    <mergeCell ref="AB285:AC285"/>
    <mergeCell ref="AB278:AC278"/>
    <mergeCell ref="AB279:AC279"/>
    <mergeCell ref="AB280:AC280"/>
    <mergeCell ref="AB281:AC281"/>
    <mergeCell ref="AB274:AC274"/>
    <mergeCell ref="AB275:AC275"/>
    <mergeCell ref="AB276:AC276"/>
    <mergeCell ref="AB277:AC277"/>
    <mergeCell ref="AB270:AC270"/>
    <mergeCell ref="AB271:AC271"/>
    <mergeCell ref="AB272:AC272"/>
    <mergeCell ref="AB273:AC273"/>
    <mergeCell ref="AB266:AC266"/>
    <mergeCell ref="AB267:AC267"/>
    <mergeCell ref="AB268:AC268"/>
    <mergeCell ref="AB269:AC269"/>
    <mergeCell ref="AB262:AC262"/>
    <mergeCell ref="AB263:AC263"/>
    <mergeCell ref="AB264:AC264"/>
    <mergeCell ref="AB265:AC265"/>
    <mergeCell ref="AB258:AC258"/>
    <mergeCell ref="AB259:AC259"/>
    <mergeCell ref="AB260:AC260"/>
    <mergeCell ref="AB261:AC261"/>
    <mergeCell ref="AB254:AC254"/>
    <mergeCell ref="AB255:AC255"/>
    <mergeCell ref="AB256:AC256"/>
    <mergeCell ref="AB257:AC257"/>
    <mergeCell ref="AB250:AC250"/>
    <mergeCell ref="AB251:AC251"/>
    <mergeCell ref="AB252:AC252"/>
    <mergeCell ref="AB253:AC253"/>
    <mergeCell ref="AB246:AC246"/>
    <mergeCell ref="AB247:AC247"/>
    <mergeCell ref="AB248:AC248"/>
    <mergeCell ref="AB249:AC249"/>
    <mergeCell ref="AB242:AC242"/>
    <mergeCell ref="AB243:AC243"/>
    <mergeCell ref="AB244:AC244"/>
    <mergeCell ref="AB245:AC245"/>
    <mergeCell ref="AB238:AC238"/>
    <mergeCell ref="AB239:AC239"/>
    <mergeCell ref="AB240:AC240"/>
    <mergeCell ref="AB241:AC241"/>
    <mergeCell ref="AB234:AC234"/>
    <mergeCell ref="AB235:AC235"/>
    <mergeCell ref="AB236:AC236"/>
    <mergeCell ref="AB237:AC237"/>
    <mergeCell ref="AB230:AC230"/>
    <mergeCell ref="AB231:AC231"/>
    <mergeCell ref="AB232:AC232"/>
    <mergeCell ref="AB233:AC233"/>
    <mergeCell ref="AB226:AC226"/>
    <mergeCell ref="AB227:AC227"/>
    <mergeCell ref="AB228:AC228"/>
    <mergeCell ref="AB229:AC229"/>
    <mergeCell ref="AB222:AC222"/>
    <mergeCell ref="AB223:AC223"/>
    <mergeCell ref="AB224:AC224"/>
    <mergeCell ref="AB225:AC225"/>
    <mergeCell ref="AB218:AC218"/>
    <mergeCell ref="AB219:AC219"/>
    <mergeCell ref="AB220:AC220"/>
    <mergeCell ref="AB221:AC221"/>
    <mergeCell ref="AB214:AC214"/>
    <mergeCell ref="AB215:AC215"/>
    <mergeCell ref="AB216:AC216"/>
    <mergeCell ref="AB217:AC217"/>
    <mergeCell ref="AB210:AC210"/>
    <mergeCell ref="AB211:AC211"/>
    <mergeCell ref="AB212:AC212"/>
    <mergeCell ref="AB213:AC213"/>
    <mergeCell ref="AB206:AC206"/>
    <mergeCell ref="AB207:AC207"/>
    <mergeCell ref="AB208:AC208"/>
    <mergeCell ref="AB209:AC209"/>
    <mergeCell ref="AB202:AC202"/>
    <mergeCell ref="AB203:AC203"/>
    <mergeCell ref="AB204:AC204"/>
    <mergeCell ref="AB205:AC205"/>
    <mergeCell ref="AB198:AC198"/>
    <mergeCell ref="AB199:AC199"/>
    <mergeCell ref="AB200:AC200"/>
    <mergeCell ref="AB201:AC201"/>
    <mergeCell ref="AB194:AC194"/>
    <mergeCell ref="AB195:AC195"/>
    <mergeCell ref="AB196:AC196"/>
    <mergeCell ref="AB197:AC197"/>
    <mergeCell ref="AB190:AC190"/>
    <mergeCell ref="AB191:AC191"/>
    <mergeCell ref="AB192:AC192"/>
    <mergeCell ref="AB193:AC193"/>
    <mergeCell ref="AB186:AC186"/>
    <mergeCell ref="AB187:AC187"/>
    <mergeCell ref="AB188:AC188"/>
    <mergeCell ref="AB189:AC189"/>
    <mergeCell ref="AB182:AC182"/>
    <mergeCell ref="AB183:AC183"/>
    <mergeCell ref="AB184:AC184"/>
    <mergeCell ref="AB185:AC185"/>
    <mergeCell ref="AB178:AC178"/>
    <mergeCell ref="AB179:AC179"/>
    <mergeCell ref="AB180:AC180"/>
    <mergeCell ref="AB181:AC181"/>
    <mergeCell ref="AB174:AC174"/>
    <mergeCell ref="AB175:AC175"/>
    <mergeCell ref="AB176:AC176"/>
    <mergeCell ref="AB177:AC177"/>
    <mergeCell ref="AB170:AC170"/>
    <mergeCell ref="AB171:AC171"/>
    <mergeCell ref="AB172:AC172"/>
    <mergeCell ref="AB173:AC173"/>
    <mergeCell ref="AB166:AC166"/>
    <mergeCell ref="AB167:AC167"/>
    <mergeCell ref="AB168:AC168"/>
    <mergeCell ref="AB169:AC169"/>
    <mergeCell ref="AB162:AC162"/>
    <mergeCell ref="AB163:AC163"/>
    <mergeCell ref="AB164:AC164"/>
    <mergeCell ref="AB165:AC165"/>
    <mergeCell ref="AB158:AC158"/>
    <mergeCell ref="AB159:AC159"/>
    <mergeCell ref="AB160:AC160"/>
    <mergeCell ref="AB161:AC161"/>
    <mergeCell ref="AB154:AC154"/>
    <mergeCell ref="AB155:AC155"/>
    <mergeCell ref="AB156:AC156"/>
    <mergeCell ref="AB157:AC157"/>
    <mergeCell ref="AB150:AC150"/>
    <mergeCell ref="AB151:AC151"/>
    <mergeCell ref="AB152:AC152"/>
    <mergeCell ref="AB153:AC153"/>
    <mergeCell ref="AB146:AC146"/>
    <mergeCell ref="AB147:AC147"/>
    <mergeCell ref="AB148:AC148"/>
    <mergeCell ref="AB149:AC149"/>
    <mergeCell ref="AB142:AC142"/>
    <mergeCell ref="AB143:AC143"/>
    <mergeCell ref="AB144:AC144"/>
    <mergeCell ref="AB145:AC145"/>
    <mergeCell ref="AB138:AC138"/>
    <mergeCell ref="AB139:AC139"/>
    <mergeCell ref="AB140:AC140"/>
    <mergeCell ref="AB141:AC141"/>
    <mergeCell ref="AB134:AC134"/>
    <mergeCell ref="AB135:AC135"/>
    <mergeCell ref="AB136:AC136"/>
    <mergeCell ref="AB137:AC137"/>
    <mergeCell ref="AB130:AC130"/>
    <mergeCell ref="AB131:AC131"/>
    <mergeCell ref="AB132:AC132"/>
    <mergeCell ref="AB133:AC133"/>
    <mergeCell ref="AB126:AC126"/>
    <mergeCell ref="AB127:AC127"/>
    <mergeCell ref="AB128:AC128"/>
    <mergeCell ref="AB129:AC129"/>
    <mergeCell ref="AB122:AC122"/>
    <mergeCell ref="AB123:AC123"/>
    <mergeCell ref="AB124:AC124"/>
    <mergeCell ref="AB125:AC125"/>
    <mergeCell ref="AB118:AC118"/>
    <mergeCell ref="AB119:AC119"/>
    <mergeCell ref="AB120:AC120"/>
    <mergeCell ref="AB121:AC121"/>
    <mergeCell ref="AB114:AC114"/>
    <mergeCell ref="AB115:AC115"/>
    <mergeCell ref="AB116:AC116"/>
    <mergeCell ref="AB117:AC117"/>
    <mergeCell ref="AB110:AC110"/>
    <mergeCell ref="AB111:AC111"/>
    <mergeCell ref="AB112:AC112"/>
    <mergeCell ref="AB113:AC113"/>
    <mergeCell ref="AB106:AC106"/>
    <mergeCell ref="AB107:AC107"/>
    <mergeCell ref="AB108:AC108"/>
    <mergeCell ref="AB109:AC109"/>
    <mergeCell ref="AB102:AC102"/>
    <mergeCell ref="AB103:AC103"/>
    <mergeCell ref="AB104:AC104"/>
    <mergeCell ref="AB105:AC105"/>
    <mergeCell ref="AB98:AC98"/>
    <mergeCell ref="AB99:AC99"/>
    <mergeCell ref="AB100:AC100"/>
    <mergeCell ref="AB101:AC101"/>
    <mergeCell ref="AB94:AC94"/>
    <mergeCell ref="AB95:AC95"/>
    <mergeCell ref="AB96:AC96"/>
    <mergeCell ref="AB97:AC97"/>
    <mergeCell ref="AB90:AC90"/>
    <mergeCell ref="AB91:AC91"/>
    <mergeCell ref="AB92:AC92"/>
    <mergeCell ref="AB93:AC93"/>
    <mergeCell ref="AB86:AC86"/>
    <mergeCell ref="AB87:AC87"/>
    <mergeCell ref="AB88:AC88"/>
    <mergeCell ref="AB89:AC89"/>
    <mergeCell ref="AB82:AC82"/>
    <mergeCell ref="AB83:AC83"/>
    <mergeCell ref="AB84:AC84"/>
    <mergeCell ref="AB85:AC85"/>
    <mergeCell ref="AB78:AC78"/>
    <mergeCell ref="AB79:AC79"/>
    <mergeCell ref="AB80:AC80"/>
    <mergeCell ref="AB81:AC81"/>
    <mergeCell ref="AB74:AC74"/>
    <mergeCell ref="AB75:AC75"/>
    <mergeCell ref="AB76:AC76"/>
    <mergeCell ref="AB77:AC77"/>
    <mergeCell ref="AB70:AC70"/>
    <mergeCell ref="AB71:AC71"/>
    <mergeCell ref="AB72:AC72"/>
    <mergeCell ref="AB73:AC73"/>
    <mergeCell ref="AB66:AC66"/>
    <mergeCell ref="AB67:AC67"/>
    <mergeCell ref="AB68:AC68"/>
    <mergeCell ref="AB69:AC69"/>
    <mergeCell ref="AB62:AC62"/>
    <mergeCell ref="AB63:AC63"/>
    <mergeCell ref="AB64:AC64"/>
    <mergeCell ref="AB65:AC65"/>
    <mergeCell ref="AB58:AC58"/>
    <mergeCell ref="AB59:AC59"/>
    <mergeCell ref="AB60:AC60"/>
    <mergeCell ref="AB61:AC61"/>
    <mergeCell ref="AB54:AC54"/>
    <mergeCell ref="AB55:AC55"/>
    <mergeCell ref="AB56:AC56"/>
    <mergeCell ref="AB57:AC57"/>
    <mergeCell ref="AB50:AC50"/>
    <mergeCell ref="AB51:AC51"/>
    <mergeCell ref="AB52:AC52"/>
    <mergeCell ref="AB53:AC53"/>
    <mergeCell ref="AB47:AC47"/>
    <mergeCell ref="AB48:AC48"/>
    <mergeCell ref="AB49:AC49"/>
    <mergeCell ref="AB42:AC42"/>
    <mergeCell ref="AB43:AC43"/>
    <mergeCell ref="AB44:AC44"/>
    <mergeCell ref="AB45:AC45"/>
    <mergeCell ref="AB36:AC36"/>
    <mergeCell ref="AB37:AC37"/>
    <mergeCell ref="AB38:AC38"/>
    <mergeCell ref="AB46:AC46"/>
    <mergeCell ref="AB39:AC39"/>
    <mergeCell ref="AB40:AC40"/>
    <mergeCell ref="X41:AA41"/>
    <mergeCell ref="AB41:AC41"/>
    <mergeCell ref="U546:V546"/>
    <mergeCell ref="U547:V547"/>
    <mergeCell ref="U538:V538"/>
    <mergeCell ref="U539:V539"/>
    <mergeCell ref="U540:V540"/>
    <mergeCell ref="U541:V541"/>
    <mergeCell ref="U542:V542"/>
    <mergeCell ref="U543:V543"/>
    <mergeCell ref="U510:V510"/>
    <mergeCell ref="U511:V511"/>
    <mergeCell ref="U512:V512"/>
    <mergeCell ref="U513:V513"/>
    <mergeCell ref="U506:V506"/>
    <mergeCell ref="U507:V507"/>
    <mergeCell ref="U508:V508"/>
    <mergeCell ref="U509:V509"/>
    <mergeCell ref="U502:V502"/>
    <mergeCell ref="U503:V503"/>
    <mergeCell ref="U504:V504"/>
    <mergeCell ref="U505:V505"/>
    <mergeCell ref="U526:V526"/>
    <mergeCell ref="U527:V527"/>
    <mergeCell ref="U528:V528"/>
    <mergeCell ref="U529:V529"/>
    <mergeCell ref="U522:V522"/>
    <mergeCell ref="U523:V523"/>
    <mergeCell ref="U524:V524"/>
    <mergeCell ref="U525:V525"/>
    <mergeCell ref="U518:V518"/>
    <mergeCell ref="U519:V519"/>
    <mergeCell ref="U520:V520"/>
    <mergeCell ref="U521:V521"/>
    <mergeCell ref="U514:V514"/>
    <mergeCell ref="U515:V515"/>
    <mergeCell ref="U516:V516"/>
    <mergeCell ref="U553:V553"/>
    <mergeCell ref="U517:V517"/>
    <mergeCell ref="U559:V559"/>
    <mergeCell ref="U560:V560"/>
    <mergeCell ref="U548:V548"/>
    <mergeCell ref="U549:V549"/>
    <mergeCell ref="U550:V550"/>
    <mergeCell ref="U551:V551"/>
    <mergeCell ref="U561:V561"/>
    <mergeCell ref="U554:V554"/>
    <mergeCell ref="U555:V555"/>
    <mergeCell ref="U556:V556"/>
    <mergeCell ref="U557:V557"/>
    <mergeCell ref="U558:V558"/>
    <mergeCell ref="U544:V544"/>
    <mergeCell ref="U545:V545"/>
    <mergeCell ref="U530:V530"/>
    <mergeCell ref="U531:V531"/>
    <mergeCell ref="U532:V532"/>
    <mergeCell ref="U533:V533"/>
    <mergeCell ref="U534:V534"/>
    <mergeCell ref="U535:V535"/>
    <mergeCell ref="U536:V536"/>
    <mergeCell ref="U537:V537"/>
    <mergeCell ref="U552:V552"/>
    <mergeCell ref="U498:V498"/>
    <mergeCell ref="U499:V499"/>
    <mergeCell ref="U500:V500"/>
    <mergeCell ref="U501:V501"/>
    <mergeCell ref="U494:V494"/>
    <mergeCell ref="U495:V495"/>
    <mergeCell ref="U496:V496"/>
    <mergeCell ref="U497:V497"/>
    <mergeCell ref="U490:V490"/>
    <mergeCell ref="U491:V491"/>
    <mergeCell ref="U492:V492"/>
    <mergeCell ref="U493:V493"/>
    <mergeCell ref="U486:V486"/>
    <mergeCell ref="U487:V487"/>
    <mergeCell ref="U488:V488"/>
    <mergeCell ref="U489:V489"/>
    <mergeCell ref="U482:V482"/>
    <mergeCell ref="U483:V483"/>
    <mergeCell ref="U484:V484"/>
    <mergeCell ref="U485:V485"/>
    <mergeCell ref="U478:V478"/>
    <mergeCell ref="U479:V479"/>
    <mergeCell ref="U480:V480"/>
    <mergeCell ref="U481:V481"/>
    <mergeCell ref="U474:V474"/>
    <mergeCell ref="U475:V475"/>
    <mergeCell ref="U476:V476"/>
    <mergeCell ref="U477:V477"/>
    <mergeCell ref="U470:V470"/>
    <mergeCell ref="U471:V471"/>
    <mergeCell ref="U472:V472"/>
    <mergeCell ref="U473:V473"/>
    <mergeCell ref="U466:V466"/>
    <mergeCell ref="U467:V467"/>
    <mergeCell ref="U468:V468"/>
    <mergeCell ref="U469:V469"/>
    <mergeCell ref="U462:V462"/>
    <mergeCell ref="U463:V463"/>
    <mergeCell ref="U464:V464"/>
    <mergeCell ref="U465:V465"/>
    <mergeCell ref="U458:V458"/>
    <mergeCell ref="U459:V459"/>
    <mergeCell ref="U460:V460"/>
    <mergeCell ref="U461:V461"/>
    <mergeCell ref="U454:V454"/>
    <mergeCell ref="U455:V455"/>
    <mergeCell ref="U456:V456"/>
    <mergeCell ref="U457:V457"/>
    <mergeCell ref="U450:V450"/>
    <mergeCell ref="U451:V451"/>
    <mergeCell ref="U452:V452"/>
    <mergeCell ref="U453:V453"/>
    <mergeCell ref="U446:V446"/>
    <mergeCell ref="U447:V447"/>
    <mergeCell ref="U448:V448"/>
    <mergeCell ref="U449:V449"/>
    <mergeCell ref="U442:V442"/>
    <mergeCell ref="U443:V443"/>
    <mergeCell ref="U444:V444"/>
    <mergeCell ref="U445:V445"/>
    <mergeCell ref="U438:V438"/>
    <mergeCell ref="U439:V439"/>
    <mergeCell ref="U440:V440"/>
    <mergeCell ref="U441:V441"/>
    <mergeCell ref="U434:V434"/>
    <mergeCell ref="U435:V435"/>
    <mergeCell ref="U436:V436"/>
    <mergeCell ref="U437:V437"/>
    <mergeCell ref="U430:V430"/>
    <mergeCell ref="U431:V431"/>
    <mergeCell ref="U432:V432"/>
    <mergeCell ref="U433:V433"/>
    <mergeCell ref="U426:V426"/>
    <mergeCell ref="U427:V427"/>
    <mergeCell ref="U428:V428"/>
    <mergeCell ref="U429:V429"/>
    <mergeCell ref="U422:V422"/>
    <mergeCell ref="U423:V423"/>
    <mergeCell ref="U424:V424"/>
    <mergeCell ref="U425:V425"/>
    <mergeCell ref="U418:V418"/>
    <mergeCell ref="U419:V419"/>
    <mergeCell ref="U420:V420"/>
    <mergeCell ref="U421:V421"/>
    <mergeCell ref="U414:V414"/>
    <mergeCell ref="U415:V415"/>
    <mergeCell ref="U416:V416"/>
    <mergeCell ref="U417:V417"/>
    <mergeCell ref="U410:V410"/>
    <mergeCell ref="U411:V411"/>
    <mergeCell ref="U412:V412"/>
    <mergeCell ref="U413:V413"/>
    <mergeCell ref="U406:V406"/>
    <mergeCell ref="U407:V407"/>
    <mergeCell ref="U408:V408"/>
    <mergeCell ref="U409:V409"/>
    <mergeCell ref="U402:V402"/>
    <mergeCell ref="U403:V403"/>
    <mergeCell ref="U404:V404"/>
    <mergeCell ref="U405:V405"/>
    <mergeCell ref="U398:V398"/>
    <mergeCell ref="U399:V399"/>
    <mergeCell ref="U400:V400"/>
    <mergeCell ref="U401:V401"/>
    <mergeCell ref="U394:V394"/>
    <mergeCell ref="U395:V395"/>
    <mergeCell ref="U396:V396"/>
    <mergeCell ref="U397:V397"/>
    <mergeCell ref="U390:V390"/>
    <mergeCell ref="U391:V391"/>
    <mergeCell ref="U392:V392"/>
    <mergeCell ref="U393:V393"/>
    <mergeCell ref="U386:V386"/>
    <mergeCell ref="U387:V387"/>
    <mergeCell ref="U388:V388"/>
    <mergeCell ref="U389:V389"/>
    <mergeCell ref="U382:V382"/>
    <mergeCell ref="U383:V383"/>
    <mergeCell ref="U384:V384"/>
    <mergeCell ref="U385:V385"/>
    <mergeCell ref="U378:V378"/>
    <mergeCell ref="U379:V379"/>
    <mergeCell ref="U380:V380"/>
    <mergeCell ref="U381:V381"/>
    <mergeCell ref="U374:V374"/>
    <mergeCell ref="U375:V375"/>
    <mergeCell ref="U376:V376"/>
    <mergeCell ref="U377:V377"/>
    <mergeCell ref="U370:V370"/>
    <mergeCell ref="U371:V371"/>
    <mergeCell ref="U372:V372"/>
    <mergeCell ref="U373:V373"/>
    <mergeCell ref="U366:V366"/>
    <mergeCell ref="U367:V367"/>
    <mergeCell ref="U368:V368"/>
    <mergeCell ref="U369:V369"/>
    <mergeCell ref="U362:V362"/>
    <mergeCell ref="U363:V363"/>
    <mergeCell ref="U364:V364"/>
    <mergeCell ref="U365:V365"/>
    <mergeCell ref="U358:V358"/>
    <mergeCell ref="U359:V359"/>
    <mergeCell ref="U360:V360"/>
    <mergeCell ref="U361:V361"/>
    <mergeCell ref="U354:V354"/>
    <mergeCell ref="U355:V355"/>
    <mergeCell ref="U356:V356"/>
    <mergeCell ref="U357:V357"/>
    <mergeCell ref="U350:V350"/>
    <mergeCell ref="U351:V351"/>
    <mergeCell ref="U352:V352"/>
    <mergeCell ref="U353:V353"/>
    <mergeCell ref="U346:V346"/>
    <mergeCell ref="U347:V347"/>
    <mergeCell ref="U348:V348"/>
    <mergeCell ref="U349:V349"/>
    <mergeCell ref="U342:V342"/>
    <mergeCell ref="U343:V343"/>
    <mergeCell ref="U344:V344"/>
    <mergeCell ref="U345:V345"/>
    <mergeCell ref="U338:V338"/>
    <mergeCell ref="U339:V339"/>
    <mergeCell ref="U340:V340"/>
    <mergeCell ref="U341:V341"/>
    <mergeCell ref="U334:V334"/>
    <mergeCell ref="U335:V335"/>
    <mergeCell ref="U336:V336"/>
    <mergeCell ref="U337:V337"/>
    <mergeCell ref="U330:V330"/>
    <mergeCell ref="U331:V331"/>
    <mergeCell ref="U332:V332"/>
    <mergeCell ref="U333:V333"/>
    <mergeCell ref="U326:V326"/>
    <mergeCell ref="U327:V327"/>
    <mergeCell ref="U328:V328"/>
    <mergeCell ref="U329:V329"/>
    <mergeCell ref="U322:V322"/>
    <mergeCell ref="U323:V323"/>
    <mergeCell ref="U324:V324"/>
    <mergeCell ref="U325:V325"/>
    <mergeCell ref="U318:V318"/>
    <mergeCell ref="U319:V319"/>
    <mergeCell ref="U320:V320"/>
    <mergeCell ref="U321:V321"/>
    <mergeCell ref="U314:V314"/>
    <mergeCell ref="U315:V315"/>
    <mergeCell ref="U316:V316"/>
    <mergeCell ref="U317:V317"/>
    <mergeCell ref="U310:V310"/>
    <mergeCell ref="U311:V311"/>
    <mergeCell ref="U312:V312"/>
    <mergeCell ref="U313:V313"/>
    <mergeCell ref="U306:V306"/>
    <mergeCell ref="U307:V307"/>
    <mergeCell ref="U308:V308"/>
    <mergeCell ref="U309:V309"/>
    <mergeCell ref="U302:V302"/>
    <mergeCell ref="U303:V303"/>
    <mergeCell ref="U304:V304"/>
    <mergeCell ref="U305:V305"/>
    <mergeCell ref="U298:V298"/>
    <mergeCell ref="U299:V299"/>
    <mergeCell ref="U300:V300"/>
    <mergeCell ref="U301:V301"/>
    <mergeCell ref="U294:V294"/>
    <mergeCell ref="U295:V295"/>
    <mergeCell ref="U296:V296"/>
    <mergeCell ref="U297:V297"/>
    <mergeCell ref="U290:V290"/>
    <mergeCell ref="U291:V291"/>
    <mergeCell ref="U292:V292"/>
    <mergeCell ref="U293:V293"/>
    <mergeCell ref="U286:V286"/>
    <mergeCell ref="U287:V287"/>
    <mergeCell ref="U288:V288"/>
    <mergeCell ref="U289:V289"/>
    <mergeCell ref="U282:V282"/>
    <mergeCell ref="U283:V283"/>
    <mergeCell ref="U284:V284"/>
    <mergeCell ref="U285:V285"/>
    <mergeCell ref="U278:V278"/>
    <mergeCell ref="U279:V279"/>
    <mergeCell ref="U280:V280"/>
    <mergeCell ref="U281:V281"/>
    <mergeCell ref="U274:V274"/>
    <mergeCell ref="U275:V275"/>
    <mergeCell ref="U276:V276"/>
    <mergeCell ref="U277:V277"/>
    <mergeCell ref="U270:V270"/>
    <mergeCell ref="U271:V271"/>
    <mergeCell ref="U272:V272"/>
    <mergeCell ref="U273:V273"/>
    <mergeCell ref="U266:V266"/>
    <mergeCell ref="U267:V267"/>
    <mergeCell ref="U268:V268"/>
    <mergeCell ref="U269:V269"/>
    <mergeCell ref="U262:V262"/>
    <mergeCell ref="U263:V263"/>
    <mergeCell ref="U264:V264"/>
    <mergeCell ref="U265:V265"/>
    <mergeCell ref="U258:V258"/>
    <mergeCell ref="U259:V259"/>
    <mergeCell ref="U260:V260"/>
    <mergeCell ref="U261:V261"/>
    <mergeCell ref="U254:V254"/>
    <mergeCell ref="U255:V255"/>
    <mergeCell ref="U256:V256"/>
    <mergeCell ref="U257:V257"/>
    <mergeCell ref="U250:V250"/>
    <mergeCell ref="U251:V251"/>
    <mergeCell ref="U252:V252"/>
    <mergeCell ref="U253:V253"/>
    <mergeCell ref="U246:V246"/>
    <mergeCell ref="U247:V247"/>
    <mergeCell ref="U248:V248"/>
    <mergeCell ref="U249:V249"/>
    <mergeCell ref="U242:V242"/>
    <mergeCell ref="U243:V243"/>
    <mergeCell ref="U244:V244"/>
    <mergeCell ref="U245:V245"/>
    <mergeCell ref="U238:V238"/>
    <mergeCell ref="U239:V239"/>
    <mergeCell ref="U240:V240"/>
    <mergeCell ref="U241:V241"/>
    <mergeCell ref="U234:V234"/>
    <mergeCell ref="U235:V235"/>
    <mergeCell ref="U236:V236"/>
    <mergeCell ref="U237:V237"/>
    <mergeCell ref="U230:V230"/>
    <mergeCell ref="U231:V231"/>
    <mergeCell ref="U232:V232"/>
    <mergeCell ref="U233:V233"/>
    <mergeCell ref="U226:V226"/>
    <mergeCell ref="U227:V227"/>
    <mergeCell ref="U228:V228"/>
    <mergeCell ref="U229:V229"/>
    <mergeCell ref="U222:V222"/>
    <mergeCell ref="U223:V223"/>
    <mergeCell ref="U224:V224"/>
    <mergeCell ref="U225:V225"/>
    <mergeCell ref="U218:V218"/>
    <mergeCell ref="U219:V219"/>
    <mergeCell ref="U220:V220"/>
    <mergeCell ref="U221:V221"/>
    <mergeCell ref="U214:V214"/>
    <mergeCell ref="U215:V215"/>
    <mergeCell ref="U216:V216"/>
    <mergeCell ref="U217:V217"/>
    <mergeCell ref="U210:V210"/>
    <mergeCell ref="U211:V211"/>
    <mergeCell ref="U212:V212"/>
    <mergeCell ref="U213:V213"/>
    <mergeCell ref="U206:V206"/>
    <mergeCell ref="U207:V207"/>
    <mergeCell ref="U208:V208"/>
    <mergeCell ref="U209:V209"/>
    <mergeCell ref="U202:V202"/>
    <mergeCell ref="U203:V203"/>
    <mergeCell ref="U204:V204"/>
    <mergeCell ref="U205:V205"/>
    <mergeCell ref="U198:V198"/>
    <mergeCell ref="U199:V199"/>
    <mergeCell ref="U200:V200"/>
    <mergeCell ref="U201:V201"/>
    <mergeCell ref="U194:V194"/>
    <mergeCell ref="U195:V195"/>
    <mergeCell ref="U196:V196"/>
    <mergeCell ref="U197:V197"/>
    <mergeCell ref="U190:V190"/>
    <mergeCell ref="U191:V191"/>
    <mergeCell ref="U192:V192"/>
    <mergeCell ref="U193:V193"/>
    <mergeCell ref="U186:V186"/>
    <mergeCell ref="U187:V187"/>
    <mergeCell ref="U188:V188"/>
    <mergeCell ref="U189:V189"/>
    <mergeCell ref="U182:V182"/>
    <mergeCell ref="U183:V183"/>
    <mergeCell ref="U184:V184"/>
    <mergeCell ref="U185:V185"/>
    <mergeCell ref="U178:V178"/>
    <mergeCell ref="U179:V179"/>
    <mergeCell ref="U180:V180"/>
    <mergeCell ref="U181:V181"/>
    <mergeCell ref="U174:V174"/>
    <mergeCell ref="U175:V175"/>
    <mergeCell ref="U176:V176"/>
    <mergeCell ref="U177:V177"/>
    <mergeCell ref="U170:V170"/>
    <mergeCell ref="U171:V171"/>
    <mergeCell ref="U172:V172"/>
    <mergeCell ref="U173:V173"/>
    <mergeCell ref="U166:V166"/>
    <mergeCell ref="U167:V167"/>
    <mergeCell ref="U168:V168"/>
    <mergeCell ref="U169:V169"/>
    <mergeCell ref="U162:V162"/>
    <mergeCell ref="U163:V163"/>
    <mergeCell ref="U164:V164"/>
    <mergeCell ref="U165:V165"/>
    <mergeCell ref="U158:V158"/>
    <mergeCell ref="U159:V159"/>
    <mergeCell ref="U160:V160"/>
    <mergeCell ref="U161:V161"/>
    <mergeCell ref="U154:V154"/>
    <mergeCell ref="U155:V155"/>
    <mergeCell ref="U156:V156"/>
    <mergeCell ref="U157:V157"/>
    <mergeCell ref="U150:V150"/>
    <mergeCell ref="U151:V151"/>
    <mergeCell ref="U152:V152"/>
    <mergeCell ref="U153:V153"/>
    <mergeCell ref="U146:V146"/>
    <mergeCell ref="U147:V147"/>
    <mergeCell ref="U148:V148"/>
    <mergeCell ref="U149:V149"/>
    <mergeCell ref="U142:V142"/>
    <mergeCell ref="U143:V143"/>
    <mergeCell ref="U144:V144"/>
    <mergeCell ref="U145:V145"/>
    <mergeCell ref="U138:V138"/>
    <mergeCell ref="U139:V139"/>
    <mergeCell ref="U140:V140"/>
    <mergeCell ref="U141:V141"/>
    <mergeCell ref="U134:V134"/>
    <mergeCell ref="U135:V135"/>
    <mergeCell ref="U136:V136"/>
    <mergeCell ref="U137:V137"/>
    <mergeCell ref="U130:V130"/>
    <mergeCell ref="U131:V131"/>
    <mergeCell ref="U132:V132"/>
    <mergeCell ref="U133:V133"/>
    <mergeCell ref="U126:V126"/>
    <mergeCell ref="U127:V127"/>
    <mergeCell ref="U128:V128"/>
    <mergeCell ref="U129:V129"/>
    <mergeCell ref="U122:V122"/>
    <mergeCell ref="U123:V123"/>
    <mergeCell ref="U124:V124"/>
    <mergeCell ref="U125:V125"/>
    <mergeCell ref="U118:V118"/>
    <mergeCell ref="U119:V119"/>
    <mergeCell ref="U120:V120"/>
    <mergeCell ref="U121:V121"/>
    <mergeCell ref="U114:V114"/>
    <mergeCell ref="U115:V115"/>
    <mergeCell ref="U116:V116"/>
    <mergeCell ref="U117:V117"/>
    <mergeCell ref="U110:V110"/>
    <mergeCell ref="U111:V111"/>
    <mergeCell ref="U112:V112"/>
    <mergeCell ref="U113:V113"/>
    <mergeCell ref="U106:V106"/>
    <mergeCell ref="U107:V107"/>
    <mergeCell ref="U108:V108"/>
    <mergeCell ref="U109:V109"/>
    <mergeCell ref="U102:V102"/>
    <mergeCell ref="U103:V103"/>
    <mergeCell ref="U104:V104"/>
    <mergeCell ref="U105:V105"/>
    <mergeCell ref="U98:V98"/>
    <mergeCell ref="U99:V99"/>
    <mergeCell ref="U100:V100"/>
    <mergeCell ref="U101:V101"/>
    <mergeCell ref="U94:V94"/>
    <mergeCell ref="U95:V95"/>
    <mergeCell ref="U96:V96"/>
    <mergeCell ref="U97:V97"/>
    <mergeCell ref="U90:V90"/>
    <mergeCell ref="U91:V91"/>
    <mergeCell ref="U92:V92"/>
    <mergeCell ref="U93:V93"/>
    <mergeCell ref="U86:V86"/>
    <mergeCell ref="U87:V87"/>
    <mergeCell ref="U88:V88"/>
    <mergeCell ref="U89:V89"/>
    <mergeCell ref="U82:V82"/>
    <mergeCell ref="U83:V83"/>
    <mergeCell ref="U84:V84"/>
    <mergeCell ref="U85:V85"/>
    <mergeCell ref="U78:V78"/>
    <mergeCell ref="U79:V79"/>
    <mergeCell ref="U80:V80"/>
    <mergeCell ref="U81:V81"/>
    <mergeCell ref="U74:V74"/>
    <mergeCell ref="U75:V75"/>
    <mergeCell ref="U76:V76"/>
    <mergeCell ref="U77:V77"/>
    <mergeCell ref="U70:V70"/>
    <mergeCell ref="U71:V71"/>
    <mergeCell ref="U72:V72"/>
    <mergeCell ref="U73:V73"/>
    <mergeCell ref="U66:V66"/>
    <mergeCell ref="U67:V67"/>
    <mergeCell ref="U68:V68"/>
    <mergeCell ref="U69:V69"/>
    <mergeCell ref="U62:V62"/>
    <mergeCell ref="U63:V63"/>
    <mergeCell ref="U64:V64"/>
    <mergeCell ref="U65:V65"/>
    <mergeCell ref="U58:V58"/>
    <mergeCell ref="U59:V59"/>
    <mergeCell ref="U60:V60"/>
    <mergeCell ref="U61:V61"/>
    <mergeCell ref="U54:V54"/>
    <mergeCell ref="U55:V55"/>
    <mergeCell ref="U56:V56"/>
    <mergeCell ref="U57:V57"/>
    <mergeCell ref="U50:V50"/>
    <mergeCell ref="U51:V51"/>
    <mergeCell ref="U52:V52"/>
    <mergeCell ref="U53:V53"/>
    <mergeCell ref="U48:V48"/>
    <mergeCell ref="U49:V49"/>
    <mergeCell ref="U42:V42"/>
    <mergeCell ref="U43:V43"/>
    <mergeCell ref="U44:V44"/>
    <mergeCell ref="U45:V45"/>
    <mergeCell ref="U36:V36"/>
    <mergeCell ref="U37:V37"/>
    <mergeCell ref="U46:V46"/>
    <mergeCell ref="U47:V47"/>
    <mergeCell ref="U38:V38"/>
    <mergeCell ref="U39:V39"/>
    <mergeCell ref="U40:V40"/>
    <mergeCell ref="Q41:T41"/>
    <mergeCell ref="U41:V41"/>
    <mergeCell ref="Q34:V35"/>
    <mergeCell ref="N561:O561"/>
    <mergeCell ref="N553:O553"/>
    <mergeCell ref="N554:O554"/>
    <mergeCell ref="N555:O555"/>
    <mergeCell ref="N556:O556"/>
    <mergeCell ref="N557:O557"/>
    <mergeCell ref="N558:O558"/>
    <mergeCell ref="N559:O559"/>
    <mergeCell ref="N560:O560"/>
    <mergeCell ref="N545:O545"/>
    <mergeCell ref="N546:O546"/>
    <mergeCell ref="N547:O547"/>
    <mergeCell ref="N548:O548"/>
    <mergeCell ref="N549:O549"/>
    <mergeCell ref="N550:O550"/>
    <mergeCell ref="N551:O551"/>
    <mergeCell ref="N552:O552"/>
    <mergeCell ref="N541:O541"/>
    <mergeCell ref="N542:O542"/>
    <mergeCell ref="N543:O543"/>
    <mergeCell ref="N544:O544"/>
    <mergeCell ref="N537:O537"/>
    <mergeCell ref="N538:O538"/>
    <mergeCell ref="N539:O539"/>
    <mergeCell ref="N540:O540"/>
    <mergeCell ref="N533:O533"/>
    <mergeCell ref="N534:O534"/>
    <mergeCell ref="N535:O535"/>
    <mergeCell ref="N536:O536"/>
    <mergeCell ref="N529:O529"/>
    <mergeCell ref="N530:O530"/>
    <mergeCell ref="N531:O531"/>
    <mergeCell ref="N532:O532"/>
    <mergeCell ref="N525:O525"/>
    <mergeCell ref="N526:O526"/>
    <mergeCell ref="N527:O527"/>
    <mergeCell ref="N528:O528"/>
    <mergeCell ref="N521:O521"/>
    <mergeCell ref="N522:O522"/>
    <mergeCell ref="N523:O523"/>
    <mergeCell ref="N524:O524"/>
    <mergeCell ref="N517:O517"/>
    <mergeCell ref="N518:O518"/>
    <mergeCell ref="N519:O519"/>
    <mergeCell ref="N520:O520"/>
    <mergeCell ref="N513:O513"/>
    <mergeCell ref="N514:O514"/>
    <mergeCell ref="N515:O515"/>
    <mergeCell ref="N516:O516"/>
    <mergeCell ref="N509:O509"/>
    <mergeCell ref="N510:O510"/>
    <mergeCell ref="N511:O511"/>
    <mergeCell ref="N512:O512"/>
    <mergeCell ref="N505:O505"/>
    <mergeCell ref="N506:O506"/>
    <mergeCell ref="N507:O507"/>
    <mergeCell ref="N508:O508"/>
    <mergeCell ref="N501:O501"/>
    <mergeCell ref="N502:O502"/>
    <mergeCell ref="N503:O503"/>
    <mergeCell ref="N504:O504"/>
    <mergeCell ref="N497:O497"/>
    <mergeCell ref="N498:O498"/>
    <mergeCell ref="N499:O499"/>
    <mergeCell ref="N500:O500"/>
    <mergeCell ref="N493:O493"/>
    <mergeCell ref="N494:O494"/>
    <mergeCell ref="N495:O495"/>
    <mergeCell ref="N496:O496"/>
    <mergeCell ref="N489:O489"/>
    <mergeCell ref="N490:O490"/>
    <mergeCell ref="N491:O491"/>
    <mergeCell ref="N492:O492"/>
    <mergeCell ref="N485:O485"/>
    <mergeCell ref="N486:O486"/>
    <mergeCell ref="N487:O487"/>
    <mergeCell ref="N488:O488"/>
    <mergeCell ref="N481:O481"/>
    <mergeCell ref="N482:O482"/>
    <mergeCell ref="N483:O483"/>
    <mergeCell ref="N484:O484"/>
    <mergeCell ref="N477:O477"/>
    <mergeCell ref="N478:O478"/>
    <mergeCell ref="N479:O479"/>
    <mergeCell ref="N480:O480"/>
    <mergeCell ref="N473:O473"/>
    <mergeCell ref="N474:O474"/>
    <mergeCell ref="N475:O475"/>
    <mergeCell ref="N476:O476"/>
    <mergeCell ref="N469:O469"/>
    <mergeCell ref="N470:O470"/>
    <mergeCell ref="N471:O471"/>
    <mergeCell ref="N472:O472"/>
    <mergeCell ref="N465:O465"/>
    <mergeCell ref="N466:O466"/>
    <mergeCell ref="N467:O467"/>
    <mergeCell ref="N468:O468"/>
    <mergeCell ref="N461:O461"/>
    <mergeCell ref="N462:O462"/>
    <mergeCell ref="N463:O463"/>
    <mergeCell ref="N464:O464"/>
    <mergeCell ref="N457:O457"/>
    <mergeCell ref="N458:O458"/>
    <mergeCell ref="N459:O459"/>
    <mergeCell ref="N460:O460"/>
    <mergeCell ref="N453:O453"/>
    <mergeCell ref="N454:O454"/>
    <mergeCell ref="N455:O455"/>
    <mergeCell ref="N456:O456"/>
    <mergeCell ref="N449:O449"/>
    <mergeCell ref="N450:O450"/>
    <mergeCell ref="N451:O451"/>
    <mergeCell ref="N452:O452"/>
    <mergeCell ref="N445:O445"/>
    <mergeCell ref="N446:O446"/>
    <mergeCell ref="N447:O447"/>
    <mergeCell ref="N448:O448"/>
    <mergeCell ref="N441:O441"/>
    <mergeCell ref="N442:O442"/>
    <mergeCell ref="N443:O443"/>
    <mergeCell ref="N444:O444"/>
    <mergeCell ref="N437:O437"/>
    <mergeCell ref="N438:O438"/>
    <mergeCell ref="N439:O439"/>
    <mergeCell ref="N440:O440"/>
    <mergeCell ref="N433:O433"/>
    <mergeCell ref="N434:O434"/>
    <mergeCell ref="N435:O435"/>
    <mergeCell ref="N436:O436"/>
    <mergeCell ref="N429:O429"/>
    <mergeCell ref="N430:O430"/>
    <mergeCell ref="N431:O431"/>
    <mergeCell ref="N432:O432"/>
    <mergeCell ref="N425:O425"/>
    <mergeCell ref="N426:O426"/>
    <mergeCell ref="N427:O427"/>
    <mergeCell ref="N428:O428"/>
    <mergeCell ref="N421:O421"/>
    <mergeCell ref="N422:O422"/>
    <mergeCell ref="N423:O423"/>
    <mergeCell ref="N424:O424"/>
    <mergeCell ref="N417:O417"/>
    <mergeCell ref="N418:O418"/>
    <mergeCell ref="N419:O419"/>
    <mergeCell ref="N420:O420"/>
    <mergeCell ref="N413:O413"/>
    <mergeCell ref="N414:O414"/>
    <mergeCell ref="N415:O415"/>
    <mergeCell ref="N416:O416"/>
    <mergeCell ref="N409:O409"/>
    <mergeCell ref="N410:O410"/>
    <mergeCell ref="N411:O411"/>
    <mergeCell ref="N412:O412"/>
    <mergeCell ref="N405:O405"/>
    <mergeCell ref="N406:O406"/>
    <mergeCell ref="N407:O407"/>
    <mergeCell ref="N408:O408"/>
    <mergeCell ref="N401:O401"/>
    <mergeCell ref="N402:O402"/>
    <mergeCell ref="N403:O403"/>
    <mergeCell ref="N404:O404"/>
    <mergeCell ref="N397:O397"/>
    <mergeCell ref="N398:O398"/>
    <mergeCell ref="N399:O399"/>
    <mergeCell ref="N400:O400"/>
    <mergeCell ref="N393:O393"/>
    <mergeCell ref="N394:O394"/>
    <mergeCell ref="N395:O395"/>
    <mergeCell ref="N396:O396"/>
    <mergeCell ref="N389:O389"/>
    <mergeCell ref="N390:O390"/>
    <mergeCell ref="N391:O391"/>
    <mergeCell ref="N392:O392"/>
    <mergeCell ref="N385:O385"/>
    <mergeCell ref="N386:O386"/>
    <mergeCell ref="N387:O387"/>
    <mergeCell ref="N388:O388"/>
    <mergeCell ref="N381:O381"/>
    <mergeCell ref="N382:O382"/>
    <mergeCell ref="N383:O383"/>
    <mergeCell ref="N384:O384"/>
    <mergeCell ref="N377:O377"/>
    <mergeCell ref="N378:O378"/>
    <mergeCell ref="N379:O379"/>
    <mergeCell ref="N380:O380"/>
    <mergeCell ref="N373:O373"/>
    <mergeCell ref="N374:O374"/>
    <mergeCell ref="N375:O375"/>
    <mergeCell ref="N376:O376"/>
    <mergeCell ref="N369:O369"/>
    <mergeCell ref="N370:O370"/>
    <mergeCell ref="N371:O371"/>
    <mergeCell ref="N372:O372"/>
    <mergeCell ref="N365:O365"/>
    <mergeCell ref="N366:O366"/>
    <mergeCell ref="N367:O367"/>
    <mergeCell ref="N368:O368"/>
    <mergeCell ref="N361:O361"/>
    <mergeCell ref="N362:O362"/>
    <mergeCell ref="N363:O363"/>
    <mergeCell ref="N364:O364"/>
    <mergeCell ref="N357:O357"/>
    <mergeCell ref="N358:O358"/>
    <mergeCell ref="N359:O359"/>
    <mergeCell ref="N360:O360"/>
    <mergeCell ref="N353:O353"/>
    <mergeCell ref="N354:O354"/>
    <mergeCell ref="N355:O355"/>
    <mergeCell ref="N356:O356"/>
    <mergeCell ref="N349:O349"/>
    <mergeCell ref="N350:O350"/>
    <mergeCell ref="N351:O351"/>
    <mergeCell ref="N352:O352"/>
    <mergeCell ref="N345:O345"/>
    <mergeCell ref="N346:O346"/>
    <mergeCell ref="N347:O347"/>
    <mergeCell ref="N348:O348"/>
    <mergeCell ref="N341:O341"/>
    <mergeCell ref="N342:O342"/>
    <mergeCell ref="N343:O343"/>
    <mergeCell ref="N344:O344"/>
    <mergeCell ref="N337:O337"/>
    <mergeCell ref="N338:O338"/>
    <mergeCell ref="N339:O339"/>
    <mergeCell ref="N340:O340"/>
    <mergeCell ref="N333:O333"/>
    <mergeCell ref="N334:O334"/>
    <mergeCell ref="N335:O335"/>
    <mergeCell ref="N336:O336"/>
    <mergeCell ref="N329:O329"/>
    <mergeCell ref="N330:O330"/>
    <mergeCell ref="N331:O331"/>
    <mergeCell ref="N332:O332"/>
    <mergeCell ref="N325:O325"/>
    <mergeCell ref="N326:O326"/>
    <mergeCell ref="N327:O327"/>
    <mergeCell ref="N328:O328"/>
    <mergeCell ref="N321:O321"/>
    <mergeCell ref="N322:O322"/>
    <mergeCell ref="N323:O323"/>
    <mergeCell ref="N324:O324"/>
    <mergeCell ref="N317:O317"/>
    <mergeCell ref="N318:O318"/>
    <mergeCell ref="N319:O319"/>
    <mergeCell ref="N320:O320"/>
    <mergeCell ref="N313:O313"/>
    <mergeCell ref="N314:O314"/>
    <mergeCell ref="N315:O315"/>
    <mergeCell ref="N316:O316"/>
    <mergeCell ref="N309:O309"/>
    <mergeCell ref="N310:O310"/>
    <mergeCell ref="N311:O311"/>
    <mergeCell ref="N312:O312"/>
    <mergeCell ref="N305:O305"/>
    <mergeCell ref="N306:O306"/>
    <mergeCell ref="N307:O307"/>
    <mergeCell ref="N308:O308"/>
    <mergeCell ref="N301:O301"/>
    <mergeCell ref="N302:O302"/>
    <mergeCell ref="N303:O303"/>
    <mergeCell ref="N304:O304"/>
    <mergeCell ref="N297:O297"/>
    <mergeCell ref="N298:O298"/>
    <mergeCell ref="N299:O299"/>
    <mergeCell ref="N300:O300"/>
    <mergeCell ref="N293:O293"/>
    <mergeCell ref="N294:O294"/>
    <mergeCell ref="N295:O295"/>
    <mergeCell ref="N296:O296"/>
    <mergeCell ref="N289:O289"/>
    <mergeCell ref="N290:O290"/>
    <mergeCell ref="N291:O291"/>
    <mergeCell ref="N292:O292"/>
    <mergeCell ref="N285:O285"/>
    <mergeCell ref="N286:O286"/>
    <mergeCell ref="N287:O287"/>
    <mergeCell ref="N288:O288"/>
    <mergeCell ref="N281:O281"/>
    <mergeCell ref="N282:O282"/>
    <mergeCell ref="N283:O283"/>
    <mergeCell ref="N284:O284"/>
    <mergeCell ref="N277:O277"/>
    <mergeCell ref="N278:O278"/>
    <mergeCell ref="N279:O279"/>
    <mergeCell ref="N280:O280"/>
    <mergeCell ref="N273:O273"/>
    <mergeCell ref="N274:O274"/>
    <mergeCell ref="N275:O275"/>
    <mergeCell ref="N276:O276"/>
    <mergeCell ref="N269:O269"/>
    <mergeCell ref="N270:O270"/>
    <mergeCell ref="N271:O271"/>
    <mergeCell ref="N272:O272"/>
    <mergeCell ref="N265:O265"/>
    <mergeCell ref="N266:O266"/>
    <mergeCell ref="N267:O267"/>
    <mergeCell ref="N268:O268"/>
    <mergeCell ref="N261:O261"/>
    <mergeCell ref="N262:O262"/>
    <mergeCell ref="N263:O263"/>
    <mergeCell ref="N264:O264"/>
    <mergeCell ref="N257:O257"/>
    <mergeCell ref="N258:O258"/>
    <mergeCell ref="N259:O259"/>
    <mergeCell ref="N260:O260"/>
    <mergeCell ref="N253:O253"/>
    <mergeCell ref="N254:O254"/>
    <mergeCell ref="N255:O255"/>
    <mergeCell ref="N256:O256"/>
    <mergeCell ref="N249:O249"/>
    <mergeCell ref="N250:O250"/>
    <mergeCell ref="N251:O251"/>
    <mergeCell ref="N252:O252"/>
    <mergeCell ref="N245:O245"/>
    <mergeCell ref="N246:O246"/>
    <mergeCell ref="N247:O247"/>
    <mergeCell ref="N248:O248"/>
    <mergeCell ref="N241:O241"/>
    <mergeCell ref="N242:O242"/>
    <mergeCell ref="N243:O243"/>
    <mergeCell ref="N244:O244"/>
    <mergeCell ref="N237:O237"/>
    <mergeCell ref="N238:O238"/>
    <mergeCell ref="N239:O239"/>
    <mergeCell ref="N240:O240"/>
    <mergeCell ref="N233:O233"/>
    <mergeCell ref="N234:O234"/>
    <mergeCell ref="N235:O235"/>
    <mergeCell ref="N236:O236"/>
    <mergeCell ref="N229:O229"/>
    <mergeCell ref="N230:O230"/>
    <mergeCell ref="N231:O231"/>
    <mergeCell ref="N232:O232"/>
    <mergeCell ref="N225:O225"/>
    <mergeCell ref="N226:O226"/>
    <mergeCell ref="N227:O227"/>
    <mergeCell ref="N228:O228"/>
    <mergeCell ref="N221:O221"/>
    <mergeCell ref="N222:O222"/>
    <mergeCell ref="N223:O223"/>
    <mergeCell ref="N224:O224"/>
    <mergeCell ref="N217:O217"/>
    <mergeCell ref="N218:O218"/>
    <mergeCell ref="N219:O219"/>
    <mergeCell ref="N220:O220"/>
    <mergeCell ref="N213:O213"/>
    <mergeCell ref="N214:O214"/>
    <mergeCell ref="N215:O215"/>
    <mergeCell ref="N216:O216"/>
    <mergeCell ref="N209:O209"/>
    <mergeCell ref="N210:O210"/>
    <mergeCell ref="N211:O211"/>
    <mergeCell ref="N212:O212"/>
    <mergeCell ref="N205:O205"/>
    <mergeCell ref="N206:O206"/>
    <mergeCell ref="N207:O207"/>
    <mergeCell ref="N208:O208"/>
    <mergeCell ref="N201:O201"/>
    <mergeCell ref="N202:O202"/>
    <mergeCell ref="N203:O203"/>
    <mergeCell ref="N204:O204"/>
    <mergeCell ref="N197:O197"/>
    <mergeCell ref="N198:O198"/>
    <mergeCell ref="N199:O199"/>
    <mergeCell ref="N200:O200"/>
    <mergeCell ref="N193:O193"/>
    <mergeCell ref="N194:O194"/>
    <mergeCell ref="N195:O195"/>
    <mergeCell ref="N196:O196"/>
    <mergeCell ref="N189:O189"/>
    <mergeCell ref="N190:O190"/>
    <mergeCell ref="N191:O191"/>
    <mergeCell ref="N192:O192"/>
    <mergeCell ref="N185:O185"/>
    <mergeCell ref="N186:O186"/>
    <mergeCell ref="N187:O187"/>
    <mergeCell ref="N188:O188"/>
    <mergeCell ref="N181:O181"/>
    <mergeCell ref="N182:O182"/>
    <mergeCell ref="N183:O183"/>
    <mergeCell ref="N184:O184"/>
    <mergeCell ref="N177:O177"/>
    <mergeCell ref="N178:O178"/>
    <mergeCell ref="N179:O179"/>
    <mergeCell ref="N180:O180"/>
    <mergeCell ref="N173:O173"/>
    <mergeCell ref="N174:O174"/>
    <mergeCell ref="N175:O175"/>
    <mergeCell ref="N176:O176"/>
    <mergeCell ref="N169:O169"/>
    <mergeCell ref="N170:O170"/>
    <mergeCell ref="N171:O171"/>
    <mergeCell ref="N172:O172"/>
    <mergeCell ref="N165:O165"/>
    <mergeCell ref="N166:O166"/>
    <mergeCell ref="N167:O167"/>
    <mergeCell ref="N168:O168"/>
    <mergeCell ref="N161:O161"/>
    <mergeCell ref="N162:O162"/>
    <mergeCell ref="N163:O163"/>
    <mergeCell ref="N164:O164"/>
    <mergeCell ref="N157:O157"/>
    <mergeCell ref="N158:O158"/>
    <mergeCell ref="N159:O159"/>
    <mergeCell ref="N160:O160"/>
    <mergeCell ref="N153:O153"/>
    <mergeCell ref="N154:O154"/>
    <mergeCell ref="N155:O155"/>
    <mergeCell ref="N156:O156"/>
    <mergeCell ref="N149:O149"/>
    <mergeCell ref="N150:O150"/>
    <mergeCell ref="N151:O151"/>
    <mergeCell ref="N152:O152"/>
    <mergeCell ref="N145:O145"/>
    <mergeCell ref="N146:O146"/>
    <mergeCell ref="N147:O147"/>
    <mergeCell ref="N148:O148"/>
    <mergeCell ref="N141:O141"/>
    <mergeCell ref="N142:O142"/>
    <mergeCell ref="N143:O143"/>
    <mergeCell ref="N144:O144"/>
    <mergeCell ref="N137:O137"/>
    <mergeCell ref="N138:O138"/>
    <mergeCell ref="N139:O139"/>
    <mergeCell ref="N140:O140"/>
    <mergeCell ref="N133:O133"/>
    <mergeCell ref="N134:O134"/>
    <mergeCell ref="N135:O135"/>
    <mergeCell ref="N136:O136"/>
    <mergeCell ref="N129:O129"/>
    <mergeCell ref="N130:O130"/>
    <mergeCell ref="N131:O131"/>
    <mergeCell ref="N132:O132"/>
    <mergeCell ref="N125:O125"/>
    <mergeCell ref="N126:O126"/>
    <mergeCell ref="N127:O127"/>
    <mergeCell ref="N128:O128"/>
    <mergeCell ref="N121:O121"/>
    <mergeCell ref="N122:O122"/>
    <mergeCell ref="N123:O123"/>
    <mergeCell ref="N124:O124"/>
    <mergeCell ref="N117:O117"/>
    <mergeCell ref="N118:O118"/>
    <mergeCell ref="N119:O119"/>
    <mergeCell ref="N120:O120"/>
    <mergeCell ref="N113:O113"/>
    <mergeCell ref="N114:O114"/>
    <mergeCell ref="N115:O115"/>
    <mergeCell ref="N116:O116"/>
    <mergeCell ref="N109:O109"/>
    <mergeCell ref="N110:O110"/>
    <mergeCell ref="N111:O111"/>
    <mergeCell ref="N112:O112"/>
    <mergeCell ref="N105:O105"/>
    <mergeCell ref="N106:O106"/>
    <mergeCell ref="N107:O107"/>
    <mergeCell ref="N108:O108"/>
    <mergeCell ref="N101:O101"/>
    <mergeCell ref="N102:O102"/>
    <mergeCell ref="N103:O103"/>
    <mergeCell ref="N104:O104"/>
    <mergeCell ref="N97:O97"/>
    <mergeCell ref="N98:O98"/>
    <mergeCell ref="N99:O99"/>
    <mergeCell ref="N100:O100"/>
    <mergeCell ref="N93:O93"/>
    <mergeCell ref="N94:O94"/>
    <mergeCell ref="N95:O95"/>
    <mergeCell ref="N96:O96"/>
    <mergeCell ref="N59:O59"/>
    <mergeCell ref="N60:O60"/>
    <mergeCell ref="N53:O53"/>
    <mergeCell ref="N54:O54"/>
    <mergeCell ref="N55:O55"/>
    <mergeCell ref="N56:O56"/>
    <mergeCell ref="N89:O89"/>
    <mergeCell ref="N90:O90"/>
    <mergeCell ref="N91:O91"/>
    <mergeCell ref="N92:O92"/>
    <mergeCell ref="N85:O85"/>
    <mergeCell ref="N86:O86"/>
    <mergeCell ref="N87:O87"/>
    <mergeCell ref="N88:O88"/>
    <mergeCell ref="N81:O81"/>
    <mergeCell ref="N82:O82"/>
    <mergeCell ref="N83:O83"/>
    <mergeCell ref="N84:O84"/>
    <mergeCell ref="N77:O77"/>
    <mergeCell ref="N78:O78"/>
    <mergeCell ref="N79:O79"/>
    <mergeCell ref="N80:O80"/>
    <mergeCell ref="N73:O73"/>
    <mergeCell ref="N74:O74"/>
    <mergeCell ref="N75:O75"/>
    <mergeCell ref="N76:O76"/>
    <mergeCell ref="N43:O43"/>
    <mergeCell ref="N44:O44"/>
    <mergeCell ref="N46:O46"/>
    <mergeCell ref="N45:O45"/>
    <mergeCell ref="G560:H560"/>
    <mergeCell ref="G561:H561"/>
    <mergeCell ref="J34:O34"/>
    <mergeCell ref="J35:O35"/>
    <mergeCell ref="N36:O36"/>
    <mergeCell ref="N37:O37"/>
    <mergeCell ref="N38:O38"/>
    <mergeCell ref="N39:O39"/>
    <mergeCell ref="N40:O40"/>
    <mergeCell ref="J41:M41"/>
    <mergeCell ref="G556:H556"/>
    <mergeCell ref="G557:H557"/>
    <mergeCell ref="G558:H558"/>
    <mergeCell ref="G559:H559"/>
    <mergeCell ref="G552:H552"/>
    <mergeCell ref="G553:H553"/>
    <mergeCell ref="G554:H554"/>
    <mergeCell ref="G555:H555"/>
    <mergeCell ref="G548:H548"/>
    <mergeCell ref="G549:H549"/>
    <mergeCell ref="G550:H550"/>
    <mergeCell ref="N69:O69"/>
    <mergeCell ref="N70:O70"/>
    <mergeCell ref="N71:O71"/>
    <mergeCell ref="N72:O72"/>
    <mergeCell ref="N65:O65"/>
    <mergeCell ref="N66:O66"/>
    <mergeCell ref="N67:O67"/>
    <mergeCell ref="G551:H551"/>
    <mergeCell ref="G544:H544"/>
    <mergeCell ref="G545:H545"/>
    <mergeCell ref="G546:H546"/>
    <mergeCell ref="G547:H547"/>
    <mergeCell ref="G540:H540"/>
    <mergeCell ref="G541:H541"/>
    <mergeCell ref="G542:H542"/>
    <mergeCell ref="G543:H543"/>
    <mergeCell ref="G536:H536"/>
    <mergeCell ref="G537:H537"/>
    <mergeCell ref="G538:H538"/>
    <mergeCell ref="G539:H539"/>
    <mergeCell ref="G532:H532"/>
    <mergeCell ref="G533:H533"/>
    <mergeCell ref="G534:H534"/>
    <mergeCell ref="G535:H535"/>
    <mergeCell ref="G528:H528"/>
    <mergeCell ref="G529:H529"/>
    <mergeCell ref="G530:H530"/>
    <mergeCell ref="G531:H531"/>
    <mergeCell ref="G524:H524"/>
    <mergeCell ref="G525:H525"/>
    <mergeCell ref="G526:H526"/>
    <mergeCell ref="G527:H527"/>
    <mergeCell ref="G520:H520"/>
    <mergeCell ref="G521:H521"/>
    <mergeCell ref="G522:H522"/>
    <mergeCell ref="G523:H523"/>
    <mergeCell ref="G516:H516"/>
    <mergeCell ref="G517:H517"/>
    <mergeCell ref="G518:H518"/>
    <mergeCell ref="G519:H519"/>
    <mergeCell ref="G512:H512"/>
    <mergeCell ref="G513:H513"/>
    <mergeCell ref="G514:H514"/>
    <mergeCell ref="G515:H515"/>
    <mergeCell ref="G508:H508"/>
    <mergeCell ref="G509:H509"/>
    <mergeCell ref="G510:H510"/>
    <mergeCell ref="G511:H511"/>
    <mergeCell ref="G504:H504"/>
    <mergeCell ref="G505:H505"/>
    <mergeCell ref="G506:H506"/>
    <mergeCell ref="G507:H507"/>
    <mergeCell ref="G500:H500"/>
    <mergeCell ref="G501:H501"/>
    <mergeCell ref="G502:H502"/>
    <mergeCell ref="G503:H503"/>
    <mergeCell ref="G496:H496"/>
    <mergeCell ref="G497:H497"/>
    <mergeCell ref="G498:H498"/>
    <mergeCell ref="G499:H499"/>
    <mergeCell ref="G492:H492"/>
    <mergeCell ref="G493:H493"/>
    <mergeCell ref="G494:H494"/>
    <mergeCell ref="G495:H495"/>
    <mergeCell ref="G488:H488"/>
    <mergeCell ref="G489:H489"/>
    <mergeCell ref="G490:H490"/>
    <mergeCell ref="G491:H491"/>
    <mergeCell ref="G484:H484"/>
    <mergeCell ref="G485:H485"/>
    <mergeCell ref="G486:H486"/>
    <mergeCell ref="G487:H487"/>
    <mergeCell ref="G480:H480"/>
    <mergeCell ref="G481:H481"/>
    <mergeCell ref="G482:H482"/>
    <mergeCell ref="G483:H483"/>
    <mergeCell ref="G476:H476"/>
    <mergeCell ref="G477:H477"/>
    <mergeCell ref="G478:H478"/>
    <mergeCell ref="G479:H479"/>
    <mergeCell ref="G472:H472"/>
    <mergeCell ref="G473:H473"/>
    <mergeCell ref="G474:H474"/>
    <mergeCell ref="G475:H475"/>
    <mergeCell ref="G468:H468"/>
    <mergeCell ref="G469:H469"/>
    <mergeCell ref="G470:H470"/>
    <mergeCell ref="G471:H471"/>
    <mergeCell ref="G464:H464"/>
    <mergeCell ref="G465:H465"/>
    <mergeCell ref="G466:H466"/>
    <mergeCell ref="G467:H467"/>
    <mergeCell ref="G460:H460"/>
    <mergeCell ref="G461:H461"/>
    <mergeCell ref="G462:H462"/>
    <mergeCell ref="G463:H463"/>
    <mergeCell ref="G456:H456"/>
    <mergeCell ref="G457:H457"/>
    <mergeCell ref="G458:H458"/>
    <mergeCell ref="G459:H459"/>
    <mergeCell ref="G452:H452"/>
    <mergeCell ref="G453:H453"/>
    <mergeCell ref="G454:H454"/>
    <mergeCell ref="G455:H455"/>
    <mergeCell ref="G448:H448"/>
    <mergeCell ref="G449:H449"/>
    <mergeCell ref="G450:H450"/>
    <mergeCell ref="G451:H451"/>
    <mergeCell ref="G444:H444"/>
    <mergeCell ref="G445:H445"/>
    <mergeCell ref="G446:H446"/>
    <mergeCell ref="G447:H447"/>
    <mergeCell ref="G440:H440"/>
    <mergeCell ref="G441:H441"/>
    <mergeCell ref="G442:H442"/>
    <mergeCell ref="G443:H443"/>
    <mergeCell ref="G436:H436"/>
    <mergeCell ref="G437:H437"/>
    <mergeCell ref="G438:H438"/>
    <mergeCell ref="G439:H439"/>
    <mergeCell ref="G432:H432"/>
    <mergeCell ref="G433:H433"/>
    <mergeCell ref="G434:H434"/>
    <mergeCell ref="G435:H435"/>
    <mergeCell ref="G428:H428"/>
    <mergeCell ref="G429:H429"/>
    <mergeCell ref="G430:H430"/>
    <mergeCell ref="G431:H431"/>
    <mergeCell ref="G424:H424"/>
    <mergeCell ref="G425:H425"/>
    <mergeCell ref="G426:H426"/>
    <mergeCell ref="G427:H427"/>
    <mergeCell ref="G420:H420"/>
    <mergeCell ref="G421:H421"/>
    <mergeCell ref="G422:H422"/>
    <mergeCell ref="G423:H423"/>
    <mergeCell ref="G416:H416"/>
    <mergeCell ref="G417:H417"/>
    <mergeCell ref="G418:H418"/>
    <mergeCell ref="G419:H419"/>
    <mergeCell ref="G412:H412"/>
    <mergeCell ref="G413:H413"/>
    <mergeCell ref="G414:H414"/>
    <mergeCell ref="G415:H415"/>
    <mergeCell ref="G408:H408"/>
    <mergeCell ref="G409:H409"/>
    <mergeCell ref="G410:H410"/>
    <mergeCell ref="G411:H411"/>
    <mergeCell ref="G405:H405"/>
    <mergeCell ref="G406:H406"/>
    <mergeCell ref="G393:H393"/>
    <mergeCell ref="G407:H407"/>
    <mergeCell ref="G401:H401"/>
    <mergeCell ref="G402:H402"/>
    <mergeCell ref="G403:H403"/>
    <mergeCell ref="G404:H404"/>
    <mergeCell ref="G397:H397"/>
    <mergeCell ref="G398:H398"/>
    <mergeCell ref="G399:H399"/>
    <mergeCell ref="G400:H400"/>
    <mergeCell ref="G392:H392"/>
    <mergeCell ref="G394:H394"/>
    <mergeCell ref="G395:H395"/>
    <mergeCell ref="G396:H396"/>
    <mergeCell ref="G388:H388"/>
    <mergeCell ref="G389:H389"/>
    <mergeCell ref="G390:H390"/>
    <mergeCell ref="G391:H391"/>
    <mergeCell ref="G384:H384"/>
    <mergeCell ref="G385:H385"/>
    <mergeCell ref="G386:H386"/>
    <mergeCell ref="G387:H387"/>
    <mergeCell ref="G380:H380"/>
    <mergeCell ref="G381:H381"/>
    <mergeCell ref="G382:H382"/>
    <mergeCell ref="G383:H383"/>
    <mergeCell ref="G376:H376"/>
    <mergeCell ref="G377:H377"/>
    <mergeCell ref="G378:H378"/>
    <mergeCell ref="G379:H379"/>
    <mergeCell ref="G372:H372"/>
    <mergeCell ref="G373:H373"/>
    <mergeCell ref="G374:H374"/>
    <mergeCell ref="G375:H375"/>
    <mergeCell ref="G368:H368"/>
    <mergeCell ref="G369:H369"/>
    <mergeCell ref="G370:H370"/>
    <mergeCell ref="G371:H371"/>
    <mergeCell ref="G364:H364"/>
    <mergeCell ref="G365:H365"/>
    <mergeCell ref="G366:H366"/>
    <mergeCell ref="G367:H367"/>
    <mergeCell ref="G360:H360"/>
    <mergeCell ref="G361:H361"/>
    <mergeCell ref="G362:H362"/>
    <mergeCell ref="G363:H363"/>
    <mergeCell ref="G356:H356"/>
    <mergeCell ref="G357:H357"/>
    <mergeCell ref="G358:H358"/>
    <mergeCell ref="G359:H359"/>
    <mergeCell ref="G352:H352"/>
    <mergeCell ref="G353:H353"/>
    <mergeCell ref="G354:H354"/>
    <mergeCell ref="G355:H355"/>
    <mergeCell ref="G348:H348"/>
    <mergeCell ref="G349:H349"/>
    <mergeCell ref="G350:H350"/>
    <mergeCell ref="G351:H351"/>
    <mergeCell ref="G344:H344"/>
    <mergeCell ref="G345:H345"/>
    <mergeCell ref="G346:H346"/>
    <mergeCell ref="G347:H347"/>
    <mergeCell ref="G340:H340"/>
    <mergeCell ref="G341:H341"/>
    <mergeCell ref="G342:H342"/>
    <mergeCell ref="G343:H343"/>
    <mergeCell ref="G336:H336"/>
    <mergeCell ref="G337:H337"/>
    <mergeCell ref="G338:H338"/>
    <mergeCell ref="G339:H339"/>
    <mergeCell ref="G332:H332"/>
    <mergeCell ref="G333:H333"/>
    <mergeCell ref="G334:H334"/>
    <mergeCell ref="G335:H335"/>
    <mergeCell ref="G328:H328"/>
    <mergeCell ref="G329:H329"/>
    <mergeCell ref="G330:H330"/>
    <mergeCell ref="G331:H331"/>
    <mergeCell ref="G324:H324"/>
    <mergeCell ref="G325:H325"/>
    <mergeCell ref="G326:H326"/>
    <mergeCell ref="G327:H327"/>
    <mergeCell ref="G320:H320"/>
    <mergeCell ref="G321:H321"/>
    <mergeCell ref="G322:H322"/>
    <mergeCell ref="G323:H323"/>
    <mergeCell ref="G316:H316"/>
    <mergeCell ref="G317:H317"/>
    <mergeCell ref="G318:H318"/>
    <mergeCell ref="G319:H319"/>
    <mergeCell ref="G312:H312"/>
    <mergeCell ref="G313:H313"/>
    <mergeCell ref="G314:H314"/>
    <mergeCell ref="G315:H315"/>
    <mergeCell ref="G308:H308"/>
    <mergeCell ref="G309:H309"/>
    <mergeCell ref="G310:H310"/>
    <mergeCell ref="G311:H311"/>
    <mergeCell ref="G304:H304"/>
    <mergeCell ref="G305:H305"/>
    <mergeCell ref="G306:H306"/>
    <mergeCell ref="G307:H307"/>
    <mergeCell ref="G300:H300"/>
    <mergeCell ref="G301:H301"/>
    <mergeCell ref="G302:H302"/>
    <mergeCell ref="G303:H303"/>
    <mergeCell ref="G296:H296"/>
    <mergeCell ref="G297:H297"/>
    <mergeCell ref="G298:H298"/>
    <mergeCell ref="G299:H299"/>
    <mergeCell ref="G292:H292"/>
    <mergeCell ref="G293:H293"/>
    <mergeCell ref="G294:H294"/>
    <mergeCell ref="G295:H295"/>
    <mergeCell ref="G288:H288"/>
    <mergeCell ref="G289:H289"/>
    <mergeCell ref="G290:H290"/>
    <mergeCell ref="G291:H291"/>
    <mergeCell ref="G284:H284"/>
    <mergeCell ref="G285:H285"/>
    <mergeCell ref="G286:H286"/>
    <mergeCell ref="G287:H287"/>
    <mergeCell ref="G280:H280"/>
    <mergeCell ref="G281:H281"/>
    <mergeCell ref="G282:H282"/>
    <mergeCell ref="G283:H283"/>
    <mergeCell ref="G276:H276"/>
    <mergeCell ref="G277:H277"/>
    <mergeCell ref="G278:H278"/>
    <mergeCell ref="G279:H279"/>
    <mergeCell ref="G272:H272"/>
    <mergeCell ref="G273:H273"/>
    <mergeCell ref="G274:H274"/>
    <mergeCell ref="G275:H275"/>
    <mergeCell ref="G268:H268"/>
    <mergeCell ref="G269:H269"/>
    <mergeCell ref="G270:H270"/>
    <mergeCell ref="G271:H271"/>
    <mergeCell ref="G264:H264"/>
    <mergeCell ref="G265:H265"/>
    <mergeCell ref="G266:H266"/>
    <mergeCell ref="G267:H267"/>
    <mergeCell ref="G260:H260"/>
    <mergeCell ref="G261:H261"/>
    <mergeCell ref="G262:H262"/>
    <mergeCell ref="G263:H263"/>
    <mergeCell ref="G256:H256"/>
    <mergeCell ref="G257:H257"/>
    <mergeCell ref="G258:H258"/>
    <mergeCell ref="G259:H259"/>
    <mergeCell ref="G252:H252"/>
    <mergeCell ref="G253:H253"/>
    <mergeCell ref="G254:H254"/>
    <mergeCell ref="G255:H255"/>
    <mergeCell ref="G248:H248"/>
    <mergeCell ref="G249:H249"/>
    <mergeCell ref="G250:H250"/>
    <mergeCell ref="G251:H251"/>
    <mergeCell ref="G244:H244"/>
    <mergeCell ref="G245:H245"/>
    <mergeCell ref="G246:H246"/>
    <mergeCell ref="G247:H247"/>
    <mergeCell ref="G240:H240"/>
    <mergeCell ref="G241:H241"/>
    <mergeCell ref="G242:H242"/>
    <mergeCell ref="G243:H243"/>
    <mergeCell ref="G236:H236"/>
    <mergeCell ref="G237:H237"/>
    <mergeCell ref="G238:H238"/>
    <mergeCell ref="G239:H239"/>
    <mergeCell ref="G232:H232"/>
    <mergeCell ref="G233:H233"/>
    <mergeCell ref="G234:H234"/>
    <mergeCell ref="G235:H235"/>
    <mergeCell ref="G228:H228"/>
    <mergeCell ref="G229:H229"/>
    <mergeCell ref="G230:H230"/>
    <mergeCell ref="G231:H231"/>
    <mergeCell ref="G224:H224"/>
    <mergeCell ref="G225:H225"/>
    <mergeCell ref="G226:H226"/>
    <mergeCell ref="G227:H227"/>
    <mergeCell ref="G220:H220"/>
    <mergeCell ref="G221:H221"/>
    <mergeCell ref="G222:H222"/>
    <mergeCell ref="G223:H223"/>
    <mergeCell ref="G216:H216"/>
    <mergeCell ref="G217:H217"/>
    <mergeCell ref="G218:H218"/>
    <mergeCell ref="G219:H219"/>
    <mergeCell ref="G212:H212"/>
    <mergeCell ref="G213:H213"/>
    <mergeCell ref="G214:H214"/>
    <mergeCell ref="G215:H215"/>
    <mergeCell ref="G208:H208"/>
    <mergeCell ref="G209:H209"/>
    <mergeCell ref="G210:H210"/>
    <mergeCell ref="G211:H211"/>
    <mergeCell ref="G204:H204"/>
    <mergeCell ref="G205:H205"/>
    <mergeCell ref="G206:H206"/>
    <mergeCell ref="G207:H207"/>
    <mergeCell ref="G200:H200"/>
    <mergeCell ref="G201:H201"/>
    <mergeCell ref="G202:H202"/>
    <mergeCell ref="G203:H203"/>
    <mergeCell ref="G196:H196"/>
    <mergeCell ref="G197:H197"/>
    <mergeCell ref="G198:H198"/>
    <mergeCell ref="G199:H199"/>
    <mergeCell ref="G192:H192"/>
    <mergeCell ref="G193:H193"/>
    <mergeCell ref="G194:H194"/>
    <mergeCell ref="G195:H195"/>
    <mergeCell ref="G188:H188"/>
    <mergeCell ref="G189:H189"/>
    <mergeCell ref="G190:H190"/>
    <mergeCell ref="G191:H191"/>
    <mergeCell ref="G184:H184"/>
    <mergeCell ref="G185:H185"/>
    <mergeCell ref="G186:H186"/>
    <mergeCell ref="G187:H187"/>
    <mergeCell ref="G180:H180"/>
    <mergeCell ref="G181:H181"/>
    <mergeCell ref="G182:H182"/>
    <mergeCell ref="G183:H183"/>
    <mergeCell ref="G176:H176"/>
    <mergeCell ref="G177:H177"/>
    <mergeCell ref="G178:H178"/>
    <mergeCell ref="G179:H179"/>
    <mergeCell ref="G172:H172"/>
    <mergeCell ref="G173:H173"/>
    <mergeCell ref="G174:H174"/>
    <mergeCell ref="G175:H175"/>
    <mergeCell ref="G168:H168"/>
    <mergeCell ref="G169:H169"/>
    <mergeCell ref="G170:H170"/>
    <mergeCell ref="G171:H171"/>
    <mergeCell ref="G164:H164"/>
    <mergeCell ref="G165:H165"/>
    <mergeCell ref="G166:H166"/>
    <mergeCell ref="G167:H167"/>
    <mergeCell ref="G160:H160"/>
    <mergeCell ref="G161:H161"/>
    <mergeCell ref="G162:H162"/>
    <mergeCell ref="G163:H163"/>
    <mergeCell ref="G156:H156"/>
    <mergeCell ref="G157:H157"/>
    <mergeCell ref="G158:H158"/>
    <mergeCell ref="G159:H159"/>
    <mergeCell ref="G152:H152"/>
    <mergeCell ref="G153:H153"/>
    <mergeCell ref="G154:H154"/>
    <mergeCell ref="G155:H155"/>
    <mergeCell ref="G148:H148"/>
    <mergeCell ref="G149:H149"/>
    <mergeCell ref="G150:H150"/>
    <mergeCell ref="G151:H151"/>
    <mergeCell ref="G144:H144"/>
    <mergeCell ref="G145:H145"/>
    <mergeCell ref="G146:H146"/>
    <mergeCell ref="G147:H147"/>
    <mergeCell ref="G140:H140"/>
    <mergeCell ref="G141:H141"/>
    <mergeCell ref="G142:H142"/>
    <mergeCell ref="G143:H143"/>
    <mergeCell ref="G136:H136"/>
    <mergeCell ref="G137:H137"/>
    <mergeCell ref="G138:H138"/>
    <mergeCell ref="G139:H139"/>
    <mergeCell ref="G132:H132"/>
    <mergeCell ref="G133:H133"/>
    <mergeCell ref="G134:H134"/>
    <mergeCell ref="G135:H135"/>
    <mergeCell ref="G128:H128"/>
    <mergeCell ref="G129:H129"/>
    <mergeCell ref="G130:H130"/>
    <mergeCell ref="G131:H131"/>
    <mergeCell ref="G124:H124"/>
    <mergeCell ref="G125:H125"/>
    <mergeCell ref="G126:H126"/>
    <mergeCell ref="G127:H127"/>
    <mergeCell ref="G120:H120"/>
    <mergeCell ref="G121:H121"/>
    <mergeCell ref="G122:H122"/>
    <mergeCell ref="G123:H123"/>
    <mergeCell ref="G116:H116"/>
    <mergeCell ref="G117:H117"/>
    <mergeCell ref="G118:H118"/>
    <mergeCell ref="G119:H119"/>
    <mergeCell ref="G112:H112"/>
    <mergeCell ref="G113:H113"/>
    <mergeCell ref="G114:H114"/>
    <mergeCell ref="G115:H115"/>
    <mergeCell ref="G108:H108"/>
    <mergeCell ref="G109:H109"/>
    <mergeCell ref="G110:H110"/>
    <mergeCell ref="G111:H111"/>
    <mergeCell ref="G104:H104"/>
    <mergeCell ref="G105:H105"/>
    <mergeCell ref="G106:H106"/>
    <mergeCell ref="G107:H107"/>
    <mergeCell ref="G100:H100"/>
    <mergeCell ref="G101:H101"/>
    <mergeCell ref="G102:H102"/>
    <mergeCell ref="G103:H103"/>
    <mergeCell ref="G96:H96"/>
    <mergeCell ref="G97:H97"/>
    <mergeCell ref="G98:H98"/>
    <mergeCell ref="G99:H99"/>
    <mergeCell ref="G92:H92"/>
    <mergeCell ref="G93:H93"/>
    <mergeCell ref="G94:H94"/>
    <mergeCell ref="G95:H95"/>
    <mergeCell ref="G88:H88"/>
    <mergeCell ref="G89:H89"/>
    <mergeCell ref="G90:H90"/>
    <mergeCell ref="G91:H91"/>
    <mergeCell ref="G84:H84"/>
    <mergeCell ref="G85:H85"/>
    <mergeCell ref="G86:H86"/>
    <mergeCell ref="G87:H87"/>
    <mergeCell ref="G80:H80"/>
    <mergeCell ref="G81:H81"/>
    <mergeCell ref="G82:H82"/>
    <mergeCell ref="G83:H83"/>
    <mergeCell ref="G65:H65"/>
    <mergeCell ref="G77:H77"/>
    <mergeCell ref="G78:H78"/>
    <mergeCell ref="G79:H79"/>
    <mergeCell ref="G72:H72"/>
    <mergeCell ref="G73:H73"/>
    <mergeCell ref="G74:H74"/>
    <mergeCell ref="G75:H75"/>
    <mergeCell ref="G60:H60"/>
    <mergeCell ref="G61:H61"/>
    <mergeCell ref="G66:H66"/>
    <mergeCell ref="G76:H76"/>
    <mergeCell ref="G68:H68"/>
    <mergeCell ref="G69:H69"/>
    <mergeCell ref="G70:H70"/>
    <mergeCell ref="G71:H71"/>
    <mergeCell ref="G67:H67"/>
    <mergeCell ref="G64:H64"/>
    <mergeCell ref="N47:O47"/>
    <mergeCell ref="G62:H62"/>
    <mergeCell ref="G63:H63"/>
    <mergeCell ref="G51:H51"/>
    <mergeCell ref="G47:H47"/>
    <mergeCell ref="G48:H48"/>
    <mergeCell ref="G56:H56"/>
    <mergeCell ref="G57:H57"/>
    <mergeCell ref="G58:H58"/>
    <mergeCell ref="G59:H59"/>
    <mergeCell ref="N49:O49"/>
    <mergeCell ref="N50:O50"/>
    <mergeCell ref="N51:O51"/>
    <mergeCell ref="N52:O52"/>
    <mergeCell ref="N48:O48"/>
    <mergeCell ref="N68:O68"/>
    <mergeCell ref="N61:O61"/>
    <mergeCell ref="N62:O62"/>
    <mergeCell ref="N63:O63"/>
    <mergeCell ref="N64:O64"/>
    <mergeCell ref="N57:O57"/>
    <mergeCell ref="N58:O58"/>
    <mergeCell ref="C1:J1"/>
    <mergeCell ref="K1:R1"/>
    <mergeCell ref="C32:D32"/>
    <mergeCell ref="K32:L32"/>
    <mergeCell ref="AA2:AA3"/>
    <mergeCell ref="G38:H38"/>
    <mergeCell ref="AC2:AC3"/>
    <mergeCell ref="G55:H55"/>
    <mergeCell ref="G46:H46"/>
    <mergeCell ref="G53:H53"/>
    <mergeCell ref="G54:H54"/>
    <mergeCell ref="G49:H49"/>
    <mergeCell ref="G52:H52"/>
    <mergeCell ref="G50:H50"/>
    <mergeCell ref="X34:AC34"/>
    <mergeCell ref="C34:H34"/>
    <mergeCell ref="C35:H35"/>
    <mergeCell ref="AB9:AC9"/>
    <mergeCell ref="AB2:AB3"/>
    <mergeCell ref="C41:F41"/>
    <mergeCell ref="G41:H41"/>
    <mergeCell ref="G36:H36"/>
    <mergeCell ref="G40:H40"/>
    <mergeCell ref="G37:H37"/>
    <mergeCell ref="G39:H39"/>
    <mergeCell ref="G42:H42"/>
    <mergeCell ref="G43:H43"/>
    <mergeCell ref="G44:H44"/>
    <mergeCell ref="G45:H45"/>
    <mergeCell ref="X35:AC35"/>
    <mergeCell ref="N41:O41"/>
    <mergeCell ref="N42:O42"/>
  </mergeCells>
  <phoneticPr fontId="2" type="noConversion"/>
  <printOptions horizontalCentered="1"/>
  <pageMargins left="0.5" right="0.5" top="0.5" bottom="0.5" header="0.25" footer="0.25"/>
  <pageSetup scale="77" fitToWidth="4" fitToHeight="10" orientation="portrait" r:id="rId1"/>
  <headerFooter alignWithMargins="0">
    <oddHeader>&amp;C&amp;"Arial,Bold"&amp;12&amp;F - Loan Amortization</oddHeader>
    <oddFooter>&amp;LLast Updated January 27, 2016&amp;CPage &amp;P of &amp;N</oddFooter>
  </headerFooter>
  <rowBreaks count="7" manualBreakCount="7">
    <brk id="106" min="2" max="49" man="1"/>
    <brk id="171" min="2" max="49" man="1"/>
    <brk id="236" min="2" max="49" man="1"/>
    <brk id="301" min="2" max="49" man="1"/>
    <brk id="366" min="2" max="49" man="1"/>
    <brk id="431" min="2" max="49" man="1"/>
    <brk id="496" min="2" max="49" man="1"/>
  </rowBreaks>
  <colBreaks count="1" manualBreakCount="1">
    <brk id="16" min="33" max="5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BreakPreview" zoomScaleNormal="100" zoomScaleSheetLayoutView="100" workbookViewId="0">
      <selection activeCell="A7" sqref="A7"/>
    </sheetView>
  </sheetViews>
  <sheetFormatPr defaultColWidth="8.85546875" defaultRowHeight="12.75" x14ac:dyDescent="0.2"/>
  <cols>
    <col min="1" max="6" width="8.85546875" style="9" customWidth="1"/>
    <col min="7" max="8" width="10.7109375" style="9" customWidth="1"/>
    <col min="9" max="9" width="8.85546875" style="9" customWidth="1"/>
    <col min="10" max="16384" width="8.85546875" style="9"/>
  </cols>
  <sheetData>
    <row r="1" spans="1:10" x14ac:dyDescent="0.2">
      <c r="A1" s="475" t="s">
        <v>1060</v>
      </c>
      <c r="B1" s="475"/>
      <c r="C1" s="475"/>
      <c r="D1" s="475"/>
      <c r="E1" s="475"/>
      <c r="F1" s="475"/>
      <c r="G1" s="475"/>
      <c r="H1" s="475"/>
      <c r="I1" s="475"/>
      <c r="J1" s="475"/>
    </row>
    <row r="2" spans="1:10" x14ac:dyDescent="0.2">
      <c r="A2" s="441" t="s">
        <v>1061</v>
      </c>
      <c r="B2" s="441"/>
      <c r="C2" s="441"/>
      <c r="D2" s="441"/>
      <c r="E2" s="441"/>
      <c r="F2" s="441"/>
      <c r="G2" s="441"/>
      <c r="H2" s="441"/>
      <c r="I2" s="441"/>
      <c r="J2" s="441"/>
    </row>
    <row r="3" spans="1:10" x14ac:dyDescent="0.2">
      <c r="A3" s="441" t="s">
        <v>88</v>
      </c>
      <c r="B3" s="441"/>
      <c r="C3" s="441"/>
      <c r="D3" s="441"/>
      <c r="E3" s="441"/>
      <c r="F3" s="441"/>
      <c r="G3" s="441"/>
      <c r="H3" s="441"/>
      <c r="I3" s="441"/>
      <c r="J3" s="441"/>
    </row>
    <row r="4" spans="1:10" x14ac:dyDescent="0.2">
      <c r="A4" s="446" t="str">
        <f>IF(Application!B229="","",Application!B229)</f>
        <v/>
      </c>
      <c r="B4" s="446"/>
      <c r="C4" s="446"/>
      <c r="D4" s="446"/>
      <c r="E4" s="446"/>
      <c r="F4" s="446"/>
      <c r="G4" s="446"/>
      <c r="H4" s="446"/>
      <c r="I4" s="446"/>
      <c r="J4" s="446"/>
    </row>
    <row r="5" spans="1:10" x14ac:dyDescent="0.2">
      <c r="A5" s="80"/>
      <c r="B5" s="80"/>
      <c r="C5" s="80"/>
      <c r="D5" s="443" t="s">
        <v>1143</v>
      </c>
      <c r="E5" s="443"/>
      <c r="F5" s="443"/>
      <c r="G5" s="443"/>
      <c r="H5" s="80"/>
      <c r="I5" s="80"/>
      <c r="J5" s="80"/>
    </row>
    <row r="6" spans="1:10" x14ac:dyDescent="0.2">
      <c r="A6" s="443" t="s">
        <v>652</v>
      </c>
      <c r="B6" s="443"/>
      <c r="C6" s="443"/>
      <c r="D6" s="443"/>
      <c r="E6" s="443"/>
      <c r="F6" s="443"/>
      <c r="G6" s="443"/>
      <c r="H6" s="443"/>
      <c r="I6" s="443"/>
      <c r="J6" s="443"/>
    </row>
    <row r="7" spans="1:10" x14ac:dyDescent="0.2">
      <c r="E7" s="201"/>
    </row>
    <row r="8" spans="1:10" x14ac:dyDescent="0.2">
      <c r="A8" s="36" t="s">
        <v>838</v>
      </c>
      <c r="C8" s="30"/>
      <c r="D8"/>
      <c r="E8" s="30"/>
      <c r="F8" s="214" t="s">
        <v>121</v>
      </c>
      <c r="G8" s="450" t="s">
        <v>994</v>
      </c>
      <c r="H8" s="450"/>
      <c r="I8" s="29"/>
      <c r="J8" s="29" t="s">
        <v>993</v>
      </c>
    </row>
    <row r="9" spans="1:10" x14ac:dyDescent="0.2">
      <c r="A9" s="9" t="s">
        <v>842</v>
      </c>
      <c r="C9" s="30"/>
      <c r="D9"/>
      <c r="E9" s="207"/>
      <c r="F9" s="211" t="str">
        <f>IF(G9=0,"",G9/$H$43)</f>
        <v/>
      </c>
      <c r="G9" s="206">
        <f>Application!G762+Application!G763+Application!G764+Application!G765</f>
        <v>0</v>
      </c>
      <c r="H9" s="206"/>
      <c r="I9" s="30"/>
      <c r="J9" s="206" t="str">
        <f>IF(Application!$B$1043=0,"",G9/Application!$B$1043)</f>
        <v/>
      </c>
    </row>
    <row r="10" spans="1:10" x14ac:dyDescent="0.2">
      <c r="A10" s="9" t="s">
        <v>839</v>
      </c>
      <c r="E10" s="207"/>
      <c r="F10" s="211" t="str">
        <f>IF(G10=0,"",G10/$H$43)</f>
        <v/>
      </c>
      <c r="G10" s="206">
        <f>Application!G766</f>
        <v>0</v>
      </c>
      <c r="H10" s="206"/>
      <c r="I10" s="30"/>
      <c r="J10" s="206" t="str">
        <f>IF(Application!$B$1043=0,"",G10/Application!$B$1043)</f>
        <v/>
      </c>
    </row>
    <row r="11" spans="1:10" x14ac:dyDescent="0.2">
      <c r="A11" s="9" t="s">
        <v>634</v>
      </c>
      <c r="E11" s="207"/>
      <c r="F11" s="211" t="str">
        <f>IF(G11=0,"",G11/$H$43)</f>
        <v/>
      </c>
      <c r="G11" s="206">
        <f>Application!G767</f>
        <v>0</v>
      </c>
      <c r="H11" s="206"/>
      <c r="I11" s="30"/>
      <c r="J11" s="206" t="str">
        <f>IF(Application!$B$1043=0,"",G11/Application!$B$1043)</f>
        <v/>
      </c>
    </row>
    <row r="12" spans="1:10" ht="15" x14ac:dyDescent="0.35">
      <c r="A12" s="9" t="s">
        <v>440</v>
      </c>
      <c r="B12" s="626" t="str">
        <f>IF(Application!C768="","",Application!C768)</f>
        <v/>
      </c>
      <c r="C12" s="626"/>
      <c r="D12" s="626"/>
      <c r="E12" s="207"/>
      <c r="F12" s="211" t="str">
        <f>IF(G12=0,"",G12/$H$43)</f>
        <v/>
      </c>
      <c r="G12" s="216">
        <f>Application!G768</f>
        <v>0</v>
      </c>
      <c r="H12" s="216"/>
      <c r="I12" s="30"/>
      <c r="J12" s="206" t="str">
        <f>IF(Application!$B$1043=0,"",G12/Application!$B$1043)</f>
        <v/>
      </c>
    </row>
    <row r="13" spans="1:10" x14ac:dyDescent="0.2">
      <c r="A13" s="9" t="s">
        <v>840</v>
      </c>
      <c r="E13" s="206"/>
      <c r="F13" s="211">
        <f>SUM(F9:F12)</f>
        <v>0</v>
      </c>
      <c r="G13" s="212" t="s">
        <v>120</v>
      </c>
      <c r="H13" s="206">
        <f>SUM(G9:G12)</f>
        <v>0</v>
      </c>
      <c r="I13" s="206"/>
      <c r="J13" s="206"/>
    </row>
    <row r="14" spans="1:10" x14ac:dyDescent="0.2">
      <c r="A14" s="36" t="s">
        <v>542</v>
      </c>
      <c r="C14" s="30"/>
      <c r="D14"/>
      <c r="E14" s="1"/>
      <c r="I14" s="29" t="s">
        <v>651</v>
      </c>
      <c r="J14" s="344" t="s">
        <v>993</v>
      </c>
    </row>
    <row r="15" spans="1:10" x14ac:dyDescent="0.2">
      <c r="A15" s="9" t="s">
        <v>841</v>
      </c>
      <c r="E15"/>
      <c r="F15" s="211" t="str">
        <f>IF(G15=0,"",G15/$H$43)</f>
        <v/>
      </c>
      <c r="G15" s="206">
        <f>Application!I784-Application!G784</f>
        <v>0</v>
      </c>
      <c r="H15" s="206"/>
      <c r="I15" s="234" t="str">
        <f>IF(Application!$J$1045=0,"",G15/Application!$J$1045)</f>
        <v/>
      </c>
      <c r="J15" s="206" t="str">
        <f>IF(Application!$B$1043=0,"",G15/Application!$B$1043)</f>
        <v/>
      </c>
    </row>
    <row r="16" spans="1:10" ht="15" x14ac:dyDescent="0.35">
      <c r="A16" s="9" t="s">
        <v>129</v>
      </c>
      <c r="E16"/>
      <c r="F16" s="211" t="str">
        <f>IF(G16=0,"",G16/$H$43)</f>
        <v/>
      </c>
      <c r="G16" s="216">
        <f>Application!G784</f>
        <v>0</v>
      </c>
      <c r="H16" s="216"/>
      <c r="I16" s="234" t="str">
        <f>IF(Application!$J$1045=0,"",G16/Application!$J$1045)</f>
        <v/>
      </c>
      <c r="J16" s="206" t="str">
        <f>IF(Application!$B$1043=0,"",G16/Application!$B$1043)</f>
        <v/>
      </c>
    </row>
    <row r="17" spans="1:10" x14ac:dyDescent="0.2">
      <c r="A17" s="9" t="s">
        <v>843</v>
      </c>
      <c r="E17"/>
      <c r="F17" s="215">
        <f>SUM(F15:F16)</f>
        <v>0</v>
      </c>
      <c r="G17" s="213" t="s">
        <v>120</v>
      </c>
      <c r="H17" s="218">
        <f>SUM(G15:G16)</f>
        <v>0</v>
      </c>
      <c r="I17" s="234" t="str">
        <f>IF(Application!$J$1045=0,"",H17/Application!$J$1045)</f>
        <v/>
      </c>
      <c r="J17" s="206"/>
    </row>
    <row r="18" spans="1:10" x14ac:dyDescent="0.2">
      <c r="A18" s="36" t="s">
        <v>543</v>
      </c>
      <c r="E18"/>
      <c r="F18"/>
      <c r="G18"/>
      <c r="H18"/>
      <c r="J18" s="233"/>
    </row>
    <row r="19" spans="1:10" x14ac:dyDescent="0.2">
      <c r="A19" s="9" t="s">
        <v>844</v>
      </c>
      <c r="E19"/>
      <c r="F19" s="211" t="str">
        <f>IF(G19=0,"",G19/$H$43)</f>
        <v/>
      </c>
      <c r="G19" s="206">
        <f>Application!G786</f>
        <v>0</v>
      </c>
      <c r="H19" s="206"/>
      <c r="I19" s="234" t="str">
        <f>IF(Application!$J$1045=0,"",G19/Application!$J$1045)</f>
        <v/>
      </c>
      <c r="J19" s="206" t="str">
        <f>IF(Application!$B$1043=0,"",G19/Application!$B$1043)</f>
        <v/>
      </c>
    </row>
    <row r="20" spans="1:10" x14ac:dyDescent="0.2">
      <c r="A20" s="9" t="s">
        <v>845</v>
      </c>
      <c r="E20"/>
      <c r="F20" s="211" t="str">
        <f>IF(G20=0,"",G20/$H$43)</f>
        <v/>
      </c>
      <c r="G20" s="206">
        <f>Application!G787</f>
        <v>0</v>
      </c>
      <c r="H20" s="206"/>
      <c r="I20" s="234" t="str">
        <f>IF(Application!$J$1045=0,"",G20/Application!$J$1045)</f>
        <v/>
      </c>
      <c r="J20" s="206" t="str">
        <f>IF(Application!$B$1043=0,"",G20/Application!$B$1043)</f>
        <v/>
      </c>
    </row>
    <row r="21" spans="1:10" x14ac:dyDescent="0.2">
      <c r="A21" s="9" t="s">
        <v>846</v>
      </c>
      <c r="E21"/>
      <c r="F21" s="211" t="str">
        <f>IF(G21=0,"",G21/$H$43)</f>
        <v/>
      </c>
      <c r="G21" s="206">
        <f>Application!I797</f>
        <v>0</v>
      </c>
      <c r="H21" s="206"/>
      <c r="I21" s="234" t="str">
        <f>IF(Application!$J$1045=0,"",G21/Application!$J$1045)</f>
        <v/>
      </c>
      <c r="J21" s="206" t="str">
        <f>IF(Application!$B$1043=0,"",G21/Application!$B$1043)</f>
        <v/>
      </c>
    </row>
    <row r="22" spans="1:10" x14ac:dyDescent="0.2">
      <c r="A22" s="9" t="s">
        <v>847</v>
      </c>
      <c r="B22" s="202"/>
      <c r="E22"/>
      <c r="F22" s="211" t="str">
        <f>IF(G22=0,"",G22/$H$43)</f>
        <v/>
      </c>
      <c r="G22" s="206">
        <f>Application!G794+Application!G795+Application!G833</f>
        <v>0</v>
      </c>
      <c r="H22" s="206"/>
      <c r="I22" s="234" t="str">
        <f>IF(Application!$J$1045=0,"",G22/Application!$J$1045)</f>
        <v/>
      </c>
      <c r="J22" s="206" t="str">
        <f>IF(Application!$B$1043=0,"",G22/Application!$B$1043)</f>
        <v/>
      </c>
    </row>
    <row r="23" spans="1:10" ht="15" x14ac:dyDescent="0.35">
      <c r="A23" s="9" t="s">
        <v>467</v>
      </c>
      <c r="B23" s="208"/>
      <c r="C23" s="208"/>
      <c r="D23" s="208"/>
      <c r="E23"/>
      <c r="F23" s="211" t="str">
        <f>IF(G23=0,"",G23/$H$43)</f>
        <v/>
      </c>
      <c r="G23" s="216">
        <f>Application!G789+Application!G790+Application!G796+Application!G797</f>
        <v>0</v>
      </c>
      <c r="H23" s="216"/>
      <c r="I23" s="234" t="str">
        <f>IF(Application!$J$1045=0,"",G23/Application!$J$1045)</f>
        <v/>
      </c>
      <c r="J23" s="206" t="str">
        <f>IF(Application!$B$1043=0,"",G23/Application!$B$1043)</f>
        <v/>
      </c>
    </row>
    <row r="24" spans="1:10" x14ac:dyDescent="0.2">
      <c r="A24" s="9" t="s">
        <v>848</v>
      </c>
      <c r="E24" s="211"/>
      <c r="F24" s="215">
        <f>SUM(F19:F23)</f>
        <v>0</v>
      </c>
      <c r="G24" s="213" t="s">
        <v>120</v>
      </c>
      <c r="H24" s="218">
        <f>SUM(G19:G23)</f>
        <v>0</v>
      </c>
      <c r="I24" s="234" t="str">
        <f>IF(Application!$J$1045=0,"",H24/Application!$J$1045)</f>
        <v/>
      </c>
      <c r="J24" s="206"/>
    </row>
    <row r="25" spans="1:10" x14ac:dyDescent="0.2">
      <c r="A25" s="36" t="s">
        <v>660</v>
      </c>
      <c r="C25"/>
      <c r="D25"/>
      <c r="E25"/>
      <c r="F25"/>
      <c r="G25"/>
      <c r="H25"/>
      <c r="I25"/>
      <c r="J25" s="233"/>
    </row>
    <row r="26" spans="1:10" x14ac:dyDescent="0.2">
      <c r="A26" s="9" t="s">
        <v>628</v>
      </c>
      <c r="C26"/>
      <c r="D26"/>
      <c r="E26"/>
      <c r="F26" s="211" t="str">
        <f>IF(G26=0,"",G26/$H$43)</f>
        <v/>
      </c>
      <c r="G26" s="206">
        <f>Application!G807</f>
        <v>0</v>
      </c>
      <c r="H26" s="206"/>
      <c r="I26"/>
      <c r="J26" s="206" t="str">
        <f>IF(Application!$B$1043=0,"",G26/Application!$B$1043)</f>
        <v/>
      </c>
    </row>
    <row r="27" spans="1:10" x14ac:dyDescent="0.2">
      <c r="A27" s="9" t="s">
        <v>629</v>
      </c>
      <c r="C27"/>
      <c r="D27"/>
      <c r="E27"/>
      <c r="F27" s="211" t="str">
        <f>IF(G27=0,"",G27/$H$43)</f>
        <v/>
      </c>
      <c r="G27" s="206">
        <f>Application!G808</f>
        <v>0</v>
      </c>
      <c r="H27" s="206"/>
      <c r="I27"/>
      <c r="J27" s="206" t="str">
        <f>IF(Application!$B$1043=0,"",G27/Application!$B$1043)</f>
        <v/>
      </c>
    </row>
    <row r="28" spans="1:10" x14ac:dyDescent="0.2">
      <c r="A28" s="9" t="s">
        <v>661</v>
      </c>
      <c r="C28"/>
      <c r="D28"/>
      <c r="E28"/>
      <c r="F28" s="211" t="str">
        <f>IF(G28=0,"",G28/$H$43)</f>
        <v/>
      </c>
      <c r="G28" s="206">
        <f>Application!G809</f>
        <v>0</v>
      </c>
      <c r="H28" s="206"/>
      <c r="I28"/>
      <c r="J28" s="206" t="str">
        <f>IF(Application!$B$1043=0,"",G28/Application!$B$1043)</f>
        <v/>
      </c>
    </row>
    <row r="29" spans="1:10" x14ac:dyDescent="0.2">
      <c r="A29" s="9" t="s">
        <v>662</v>
      </c>
      <c r="C29"/>
      <c r="D29"/>
      <c r="E29"/>
      <c r="F29" s="211" t="str">
        <f>IF(G29=0,"",G29/$H$43)</f>
        <v/>
      </c>
      <c r="G29" s="206">
        <f>Application!G810</f>
        <v>0</v>
      </c>
      <c r="H29" s="206"/>
      <c r="I29"/>
      <c r="J29" s="206" t="str">
        <f>IF(Application!$B$1043=0,"",G29/Application!$B$1043)</f>
        <v/>
      </c>
    </row>
    <row r="30" spans="1:10" ht="15" x14ac:dyDescent="0.35">
      <c r="A30" s="9" t="s">
        <v>849</v>
      </c>
      <c r="C30"/>
      <c r="D30"/>
      <c r="E30"/>
      <c r="F30" s="211" t="str">
        <f>IF(G30=0,"",G30/$H$43)</f>
        <v/>
      </c>
      <c r="G30" s="216">
        <f>Application!G811</f>
        <v>0</v>
      </c>
      <c r="H30" s="216"/>
      <c r="I30"/>
      <c r="J30" s="206" t="str">
        <f>IF(Application!$B$1043=0,"",G30/Application!$B$1043)</f>
        <v/>
      </c>
    </row>
    <row r="31" spans="1:10" x14ac:dyDescent="0.2">
      <c r="A31" s="9" t="s">
        <v>850</v>
      </c>
      <c r="C31"/>
      <c r="D31"/>
      <c r="E31"/>
      <c r="F31" s="298" t="str">
        <f>IF(H31=0,"0.00%",H31/H43)</f>
        <v>0.00%</v>
      </c>
      <c r="G31" s="213" t="s">
        <v>120</v>
      </c>
      <c r="H31" s="218">
        <f>SUM(G26:G30)</f>
        <v>0</v>
      </c>
      <c r="I31" s="206"/>
      <c r="J31" s="206"/>
    </row>
    <row r="32" spans="1:10" x14ac:dyDescent="0.2">
      <c r="A32" s="36" t="s">
        <v>851</v>
      </c>
      <c r="C32"/>
      <c r="D32"/>
      <c r="E32"/>
      <c r="F32"/>
      <c r="G32"/>
      <c r="H32"/>
      <c r="I32"/>
      <c r="J32" s="233"/>
    </row>
    <row r="33" spans="1:10" x14ac:dyDescent="0.2">
      <c r="A33" s="9" t="s">
        <v>855</v>
      </c>
      <c r="C33"/>
      <c r="D33"/>
      <c r="E33"/>
      <c r="F33" s="211" t="str">
        <f t="shared" ref="F33:F40" si="0">IF(G33=0,"",G33/$H$43)</f>
        <v/>
      </c>
      <c r="G33" s="206">
        <f>Application!I821</f>
        <v>0</v>
      </c>
      <c r="H33" s="206"/>
      <c r="I33"/>
      <c r="J33" s="206" t="str">
        <f>IF(Application!$B$1043=0,"",G33/Application!$B$1043)</f>
        <v/>
      </c>
    </row>
    <row r="34" spans="1:10" x14ac:dyDescent="0.2">
      <c r="A34" s="9" t="s">
        <v>856</v>
      </c>
      <c r="C34"/>
      <c r="D34"/>
      <c r="E34"/>
      <c r="F34" s="211" t="str">
        <f t="shared" si="0"/>
        <v/>
      </c>
      <c r="G34" s="206">
        <f>Application!I829</f>
        <v>0</v>
      </c>
      <c r="H34" s="206"/>
      <c r="I34"/>
      <c r="J34" s="206" t="str">
        <f>IF(Application!$B$1043=0,"",G34/Application!$B$1043)</f>
        <v/>
      </c>
    </row>
    <row r="35" spans="1:10" x14ac:dyDescent="0.2">
      <c r="A35" s="9" t="s">
        <v>163</v>
      </c>
      <c r="C35"/>
      <c r="D35"/>
      <c r="E35"/>
      <c r="F35" s="211" t="str">
        <f t="shared" si="0"/>
        <v/>
      </c>
      <c r="G35" s="206">
        <f>Application!G831</f>
        <v>0</v>
      </c>
      <c r="H35" s="206"/>
      <c r="I35"/>
      <c r="J35" s="206" t="str">
        <f>IF(Application!$B$1043=0,"",G35/Application!$B$1043)</f>
        <v/>
      </c>
    </row>
    <row r="36" spans="1:10" x14ac:dyDescent="0.2">
      <c r="A36" s="9" t="s">
        <v>671</v>
      </c>
      <c r="C36"/>
      <c r="D36"/>
      <c r="E36"/>
      <c r="F36" s="211" t="str">
        <f t="shared" si="0"/>
        <v/>
      </c>
      <c r="G36" s="206">
        <f>Application!G832</f>
        <v>0</v>
      </c>
      <c r="H36" s="206"/>
      <c r="I36"/>
      <c r="J36" s="206" t="str">
        <f>IF(Application!$B$1043=0,"",G36/Application!$B$1043)</f>
        <v/>
      </c>
    </row>
    <row r="37" spans="1:10" x14ac:dyDescent="0.2">
      <c r="A37" s="9" t="s">
        <v>673</v>
      </c>
      <c r="C37"/>
      <c r="D37"/>
      <c r="E37"/>
      <c r="F37" s="211" t="str">
        <f t="shared" si="0"/>
        <v/>
      </c>
      <c r="G37" s="206">
        <f>Application!G834</f>
        <v>0</v>
      </c>
      <c r="H37" s="206"/>
      <c r="I37"/>
      <c r="J37" s="206" t="str">
        <f>IF(Application!$B$1043=0,"",G37/Application!$B$1043)</f>
        <v/>
      </c>
    </row>
    <row r="38" spans="1:10" x14ac:dyDescent="0.2">
      <c r="A38" s="9" t="s">
        <v>934</v>
      </c>
      <c r="C38"/>
      <c r="D38"/>
      <c r="E38"/>
      <c r="F38" s="211" t="str">
        <f t="shared" si="0"/>
        <v/>
      </c>
      <c r="G38" s="206">
        <f>Application!G835</f>
        <v>0</v>
      </c>
      <c r="H38" s="206"/>
      <c r="I38"/>
      <c r="J38" s="206" t="str">
        <f>IF(Application!$B$1043=0,"",G38/Application!$B$1043)</f>
        <v/>
      </c>
    </row>
    <row r="39" spans="1:10" x14ac:dyDescent="0.2">
      <c r="A39" s="9" t="s">
        <v>440</v>
      </c>
      <c r="B39" s="626" t="str">
        <f>IF(Application!C836="","",Application!C836)</f>
        <v/>
      </c>
      <c r="C39" s="626"/>
      <c r="D39" s="626"/>
      <c r="E39"/>
      <c r="F39" s="211" t="str">
        <f t="shared" si="0"/>
        <v/>
      </c>
      <c r="G39" s="206">
        <f>Application!G836</f>
        <v>0</v>
      </c>
      <c r="H39" s="206"/>
      <c r="I39"/>
      <c r="J39" s="206" t="str">
        <f>IF(Application!$B$1043=0,"",G39/Application!$B$1043)</f>
        <v/>
      </c>
    </row>
    <row r="40" spans="1:10" ht="15" x14ac:dyDescent="0.35">
      <c r="A40" s="9" t="s">
        <v>852</v>
      </c>
      <c r="C40"/>
      <c r="D40"/>
      <c r="E40"/>
      <c r="F40" s="211" t="str">
        <f t="shared" si="0"/>
        <v/>
      </c>
      <c r="G40" s="216">
        <f>Application!I842</f>
        <v>0</v>
      </c>
      <c r="H40" s="216"/>
      <c r="I40"/>
      <c r="J40" s="206" t="str">
        <f>IF(Application!$B$1043=0,"",G40/Application!$B$1043)</f>
        <v/>
      </c>
    </row>
    <row r="41" spans="1:10" x14ac:dyDescent="0.2">
      <c r="A41" s="9" t="s">
        <v>853</v>
      </c>
      <c r="C41"/>
      <c r="D41"/>
      <c r="E41"/>
      <c r="F41" s="298" t="str">
        <f>IF(H41=0,"0.00%",H41/H43)</f>
        <v>0.00%</v>
      </c>
      <c r="G41" s="213" t="s">
        <v>120</v>
      </c>
      <c r="H41" s="218">
        <f>SUM(G33:G40)</f>
        <v>0</v>
      </c>
      <c r="I41" s="206"/>
      <c r="J41" s="206"/>
    </row>
    <row r="42" spans="1:10" ht="15" x14ac:dyDescent="0.35">
      <c r="A42" s="36" t="s">
        <v>854</v>
      </c>
      <c r="C42"/>
      <c r="D42"/>
      <c r="E42" s="215"/>
      <c r="F42" s="299" t="str">
        <f>IF(H42=0,"0.00%",H42/H43)</f>
        <v>0.00%</v>
      </c>
      <c r="G42" s="213" t="s">
        <v>120</v>
      </c>
      <c r="H42" s="219">
        <f>Application!G755</f>
        <v>0</v>
      </c>
      <c r="I42" s="29" t="s">
        <v>651</v>
      </c>
      <c r="J42" s="29" t="s">
        <v>993</v>
      </c>
    </row>
    <row r="43" spans="1:10" ht="15" x14ac:dyDescent="0.35">
      <c r="A43" s="36" t="s">
        <v>857</v>
      </c>
      <c r="C43"/>
      <c r="D43"/>
      <c r="E43"/>
      <c r="F43" s="215">
        <f>F13+F17+F24+F31+F41+F42</f>
        <v>0</v>
      </c>
      <c r="G43"/>
      <c r="H43" s="217">
        <f>H13+H17+H24+H31+H41+H42</f>
        <v>0</v>
      </c>
      <c r="I43" s="234" t="str">
        <f>IF(Application!$J$1045=0,"",H43/Application!$J$1045)</f>
        <v/>
      </c>
      <c r="J43" s="206" t="str">
        <f>IF(Application!$B$1043=0,"",H43/Application!$B$1043)</f>
        <v/>
      </c>
    </row>
    <row r="44" spans="1:10" x14ac:dyDescent="0.2">
      <c r="A44" s="36" t="s">
        <v>675</v>
      </c>
      <c r="C44"/>
      <c r="D44"/>
      <c r="E44"/>
      <c r="F44" s="214" t="s">
        <v>121</v>
      </c>
      <c r="G44"/>
      <c r="H44"/>
      <c r="I44"/>
      <c r="J44"/>
    </row>
    <row r="45" spans="1:10" x14ac:dyDescent="0.2">
      <c r="A45" s="9" t="s">
        <v>802</v>
      </c>
      <c r="C45" s="724" t="str">
        <f>IF(Application!A911="","None",Application!A911)</f>
        <v>None</v>
      </c>
      <c r="D45" s="724"/>
      <c r="E45" s="724"/>
      <c r="F45" s="215" t="str">
        <f>IF(G45=0,"",G45/H52)</f>
        <v/>
      </c>
      <c r="G45" s="206">
        <f>Application!D911</f>
        <v>0</v>
      </c>
      <c r="H45" s="206"/>
      <c r="I45"/>
      <c r="J45" s="206" t="str">
        <f>IF(Application!$B$1043=0,"",G45/Application!$B$1043)</f>
        <v/>
      </c>
    </row>
    <row r="46" spans="1:10" x14ac:dyDescent="0.2">
      <c r="A46" s="9" t="s">
        <v>468</v>
      </c>
      <c r="C46" s="724" t="str">
        <f>IF(Application!A912="","None",Application!A912)</f>
        <v>None</v>
      </c>
      <c r="D46" s="724"/>
      <c r="E46" s="724"/>
      <c r="F46" s="215" t="str">
        <f>IF(G46=0,"",G46/H52)</f>
        <v/>
      </c>
      <c r="G46" s="206">
        <f>Application!D912</f>
        <v>0</v>
      </c>
      <c r="H46" s="206"/>
      <c r="I46"/>
      <c r="J46" s="206" t="str">
        <f>IF(Application!$B$1043=0,"",G46/Application!$B$1043)</f>
        <v/>
      </c>
    </row>
    <row r="47" spans="1:10" x14ac:dyDescent="0.2">
      <c r="A47" s="9" t="str">
        <f>IF(Application!A913="","",Application!A913)</f>
        <v>OWHLF Homeowner Loan(s)</v>
      </c>
      <c r="C47"/>
      <c r="D47" s="258">
        <f>IF(Application!F913="","",Application!F913)</f>
        <v>0.05</v>
      </c>
      <c r="E47" s="259">
        <f>IF(Application!G913="","",IF(Application!G913=12,"12 Months",IF(Application!G913=24,"24 Months",Application!G913)))</f>
        <v>0</v>
      </c>
      <c r="F47" s="215" t="str">
        <f>IF(G47=0,"",G47/H52)</f>
        <v/>
      </c>
      <c r="G47" s="206">
        <f>Application!D913</f>
        <v>0</v>
      </c>
      <c r="H47" s="206"/>
      <c r="I47"/>
      <c r="J47" s="206" t="str">
        <f>IF(Application!$B$1043=0,"",G47/Application!$B$1043)</f>
        <v/>
      </c>
    </row>
    <row r="48" spans="1:10" x14ac:dyDescent="0.2">
      <c r="A48" s="9" t="s">
        <v>116</v>
      </c>
      <c r="C48"/>
      <c r="D48" s="724" t="str">
        <f>IF(Application!A914="","None",Application!A914)</f>
        <v>None</v>
      </c>
      <c r="E48" s="724"/>
      <c r="F48" s="215" t="str">
        <f>IF(G48=0,"",G48/H52)</f>
        <v/>
      </c>
      <c r="G48" s="206">
        <f>Application!D914</f>
        <v>0</v>
      </c>
      <c r="H48" s="206"/>
      <c r="I48"/>
      <c r="J48" s="206" t="str">
        <f>IF(Application!$B$1043=0,"",G48/Application!$B$1043)</f>
        <v/>
      </c>
    </row>
    <row r="49" spans="1:10" x14ac:dyDescent="0.2">
      <c r="A49" s="9" t="s">
        <v>130</v>
      </c>
      <c r="C49" s="292" t="str">
        <f>IF(Application!D917="","None","Yes")</f>
        <v>None</v>
      </c>
      <c r="D49"/>
      <c r="E49"/>
      <c r="F49" s="215" t="str">
        <f>IF(G49=0,"",G49/H52)</f>
        <v/>
      </c>
      <c r="G49" s="206">
        <f>Application!D917</f>
        <v>0</v>
      </c>
      <c r="H49" s="206"/>
      <c r="I49"/>
      <c r="J49" s="206" t="str">
        <f>IF(Application!$B$1043=0,"",G49/Application!$B$1043)</f>
        <v/>
      </c>
    </row>
    <row r="50" spans="1:10" x14ac:dyDescent="0.2">
      <c r="A50" s="9" t="s">
        <v>117</v>
      </c>
      <c r="B50" s="292" t="str">
        <f>IF(SUM(Application!D919:'Application'!D923)=0,"None","Yes")</f>
        <v>None</v>
      </c>
      <c r="C50"/>
      <c r="D50"/>
      <c r="E50"/>
      <c r="F50" s="215" t="str">
        <f>IF(G50=0,"",G50/H52)</f>
        <v/>
      </c>
      <c r="G50" s="206">
        <f>Application!D919+Application!D920+Application!D921+Application!D922+Application!D923</f>
        <v>0</v>
      </c>
      <c r="H50" s="206"/>
      <c r="I50"/>
      <c r="J50" s="206" t="str">
        <f>IF(Application!$B$1043=0,"",G50/Application!$B$1043)</f>
        <v/>
      </c>
    </row>
    <row r="51" spans="1:10" ht="15" x14ac:dyDescent="0.35">
      <c r="A51" s="9" t="s">
        <v>118</v>
      </c>
      <c r="C51"/>
      <c r="D51"/>
      <c r="E51"/>
      <c r="F51" s="215" t="str">
        <f>IF(G51=0,"",G51/H52)</f>
        <v/>
      </c>
      <c r="G51" s="216">
        <f>Application!D925+Application!D926+Application!D927+Application!D928</f>
        <v>0</v>
      </c>
      <c r="H51" s="216"/>
      <c r="I51"/>
      <c r="J51" s="206" t="str">
        <f>IF(Application!$B$1043=0,"",G51/Application!$B$1043)</f>
        <v/>
      </c>
    </row>
    <row r="52" spans="1:10" ht="15" x14ac:dyDescent="0.35">
      <c r="A52" s="36" t="s">
        <v>119</v>
      </c>
      <c r="C52"/>
      <c r="D52"/>
      <c r="E52"/>
      <c r="F52" s="215">
        <f>SUM(F45:F51)</f>
        <v>0</v>
      </c>
      <c r="G52"/>
      <c r="H52" s="349">
        <f>SUM(G45:G51)</f>
        <v>0</v>
      </c>
      <c r="I52" s="220"/>
      <c r="J52" s="220"/>
    </row>
    <row r="53" spans="1:10" x14ac:dyDescent="0.2">
      <c r="A53" s="475" t="s">
        <v>1060</v>
      </c>
      <c r="B53" s="475"/>
      <c r="C53" s="475"/>
      <c r="D53" s="475"/>
      <c r="E53" s="475"/>
      <c r="F53" s="475"/>
      <c r="G53" s="475"/>
      <c r="H53" s="475"/>
      <c r="I53" s="475"/>
      <c r="J53" s="475"/>
    </row>
    <row r="54" spans="1:10" x14ac:dyDescent="0.2">
      <c r="A54" s="441" t="s">
        <v>1061</v>
      </c>
      <c r="B54" s="441"/>
      <c r="C54" s="441"/>
      <c r="D54" s="441"/>
      <c r="E54" s="441"/>
      <c r="F54" s="441"/>
      <c r="G54" s="441"/>
      <c r="H54" s="441"/>
      <c r="I54" s="441"/>
      <c r="J54" s="441"/>
    </row>
    <row r="55" spans="1:10" x14ac:dyDescent="0.2">
      <c r="A55" s="441" t="s">
        <v>88</v>
      </c>
      <c r="B55" s="441"/>
      <c r="C55" s="441"/>
      <c r="D55" s="441"/>
      <c r="E55" s="441"/>
      <c r="F55" s="441"/>
      <c r="G55" s="441"/>
      <c r="H55" s="441"/>
      <c r="I55" s="441"/>
      <c r="J55" s="441"/>
    </row>
    <row r="56" spans="1:10" x14ac:dyDescent="0.2">
      <c r="A56" s="446" t="str">
        <f>IF(Application!B229="","",Application!B229)</f>
        <v/>
      </c>
      <c r="B56" s="446"/>
      <c r="C56" s="446"/>
      <c r="D56" s="446"/>
      <c r="E56" s="446"/>
      <c r="F56" s="446"/>
      <c r="G56" s="446"/>
      <c r="H56" s="446"/>
      <c r="I56" s="446"/>
      <c r="J56" s="446"/>
    </row>
    <row r="57" spans="1:10" x14ac:dyDescent="0.2">
      <c r="A57" s="80"/>
      <c r="B57" s="80"/>
      <c r="C57" s="80"/>
      <c r="D57" s="443" t="s">
        <v>1143</v>
      </c>
      <c r="E57" s="443"/>
      <c r="F57" s="443"/>
      <c r="G57" s="443"/>
      <c r="H57" s="80"/>
      <c r="I57" s="80"/>
      <c r="J57" s="80"/>
    </row>
    <row r="58" spans="1:10" x14ac:dyDescent="0.2">
      <c r="A58" s="443" t="s">
        <v>1012</v>
      </c>
      <c r="B58" s="443"/>
      <c r="C58" s="443"/>
      <c r="D58" s="443"/>
      <c r="E58" s="443"/>
      <c r="F58" s="443"/>
      <c r="G58" s="443"/>
      <c r="H58" s="443"/>
      <c r="I58" s="443"/>
      <c r="J58" s="443"/>
    </row>
    <row r="59" spans="1:10" x14ac:dyDescent="0.2">
      <c r="C59"/>
      <c r="D59"/>
      <c r="E59"/>
      <c r="F59"/>
      <c r="G59"/>
      <c r="H59"/>
      <c r="I59"/>
      <c r="J59"/>
    </row>
    <row r="60" spans="1:10" x14ac:dyDescent="0.2">
      <c r="B60" s="34" t="s">
        <v>999</v>
      </c>
      <c r="C60" s="221">
        <v>0</v>
      </c>
      <c r="D60" s="81" t="s">
        <v>1000</v>
      </c>
      <c r="E60" s="222" t="str">
        <f>IF(Application!I1023="","",Application!I1023)</f>
        <v/>
      </c>
      <c r="F60"/>
      <c r="G60" s="81" t="s">
        <v>265</v>
      </c>
      <c r="H60" s="224" t="str">
        <f>IF(Application!F1023=0,"",Application!F1023)</f>
        <v/>
      </c>
      <c r="I60" s="723" t="s">
        <v>1090</v>
      </c>
      <c r="J60" s="716"/>
    </row>
    <row r="61" spans="1:10" x14ac:dyDescent="0.2">
      <c r="A61" s="36"/>
      <c r="C61" s="209" t="s">
        <v>995</v>
      </c>
      <c r="D61" s="209" t="s">
        <v>996</v>
      </c>
      <c r="E61" s="209" t="s">
        <v>997</v>
      </c>
      <c r="F61" s="209" t="s">
        <v>998</v>
      </c>
      <c r="G61" s="717" t="s">
        <v>1008</v>
      </c>
      <c r="H61" s="717"/>
      <c r="I61" s="716"/>
      <c r="J61" s="716"/>
    </row>
    <row r="62" spans="1:10" x14ac:dyDescent="0.2">
      <c r="A62" s="9" t="s">
        <v>802</v>
      </c>
      <c r="C62" s="223" t="str">
        <f>IF(E60="","",Application!$F$1081)</f>
        <v/>
      </c>
      <c r="D62" s="221" t="str">
        <f>IF(C62="","",Application!$I$1081*12)</f>
        <v/>
      </c>
      <c r="E62" s="340" t="str">
        <f>IF(E60="","",Application!B1074)</f>
        <v/>
      </c>
      <c r="F62" s="341" t="str">
        <f>IF(E60="","",Application!C1074)</f>
        <v/>
      </c>
      <c r="G62" s="720" t="str">
        <f>IF(E60="","",Application!$J$1017)</f>
        <v/>
      </c>
      <c r="H62" s="721"/>
      <c r="I62" s="718" t="str">
        <f>IF(E60="","",SUM(F62:F66))</f>
        <v/>
      </c>
      <c r="J62" s="719"/>
    </row>
    <row r="63" spans="1:10" x14ac:dyDescent="0.2">
      <c r="A63" s="9" t="s">
        <v>468</v>
      </c>
      <c r="C63" s="223" t="str">
        <f>IF(E60="","",Application!$E$1093)</f>
        <v/>
      </c>
      <c r="D63" s="315" t="str">
        <f>IF(C63="","",Application!$G$1093*12)</f>
        <v/>
      </c>
      <c r="E63" s="340" t="str">
        <f>IF(E60="","",Application!B1086)</f>
        <v/>
      </c>
      <c r="F63" s="341" t="str">
        <f>IF(E60="","",Application!C1086)</f>
        <v/>
      </c>
      <c r="G63" s="717" t="s">
        <v>458</v>
      </c>
      <c r="H63" s="717"/>
      <c r="I63" s="722" t="s">
        <v>1092</v>
      </c>
      <c r="J63" s="717"/>
    </row>
    <row r="64" spans="1:10" x14ac:dyDescent="0.2">
      <c r="A64" s="9" t="s">
        <v>1003</v>
      </c>
      <c r="C64"/>
      <c r="D64"/>
      <c r="E64" s="340" t="str">
        <f>IF(E60="","",Application!E1002)</f>
        <v/>
      </c>
      <c r="F64" s="341" t="str">
        <f>IF(E60="","",E64/12)</f>
        <v/>
      </c>
      <c r="G64" s="719" t="str">
        <f>IF(E60="","",Application!A1017)</f>
        <v/>
      </c>
      <c r="H64" s="719"/>
      <c r="I64" s="718" t="str">
        <f>IF(E60="","",(I62/G62))</f>
        <v/>
      </c>
      <c r="J64" s="719"/>
    </row>
    <row r="65" spans="1:10" x14ac:dyDescent="0.2">
      <c r="A65" s="9" t="s">
        <v>1004</v>
      </c>
      <c r="C65"/>
      <c r="D65"/>
      <c r="E65" s="340" t="str">
        <f>IF(E60="","",Application!F1002)</f>
        <v/>
      </c>
      <c r="F65" s="341" t="str">
        <f>IF(E60="","",E65/12)</f>
        <v/>
      </c>
      <c r="G65" s="717" t="s">
        <v>1007</v>
      </c>
      <c r="H65" s="717"/>
      <c r="I65" s="342"/>
      <c r="J65" s="342"/>
    </row>
    <row r="66" spans="1:10" x14ac:dyDescent="0.2">
      <c r="A66" s="9" t="s">
        <v>1002</v>
      </c>
      <c r="C66"/>
      <c r="D66"/>
      <c r="E66" s="340" t="str">
        <f>IF(E60="","",Application!G1002)</f>
        <v/>
      </c>
      <c r="F66" s="341" t="str">
        <f>IF(E60="","",E66/12)</f>
        <v/>
      </c>
      <c r="G66" s="639" t="str">
        <f>IF(E60="","",LOOKUP(Application!$A$1017,'Income Limits, Mortgage, Amort'!$A$3:$B$31))</f>
        <v/>
      </c>
      <c r="H66" s="639"/>
      <c r="I66" s="717" t="s">
        <v>1006</v>
      </c>
      <c r="J66" s="717"/>
    </row>
    <row r="67" spans="1:10" x14ac:dyDescent="0.2">
      <c r="C67"/>
      <c r="D67" s="725" t="s">
        <v>1091</v>
      </c>
      <c r="E67" s="725"/>
      <c r="F67" s="726"/>
      <c r="G67" s="639" t="str">
        <f>IF(E60="","",(I64)*12)</f>
        <v/>
      </c>
      <c r="H67" s="639"/>
      <c r="I67" s="715" t="str">
        <f>IF(E60="","",G67/G66)</f>
        <v/>
      </c>
      <c r="J67" s="715"/>
    </row>
    <row r="68" spans="1:10" x14ac:dyDescent="0.2">
      <c r="A68" s="9" t="s">
        <v>1109</v>
      </c>
      <c r="C68"/>
      <c r="D68" s="368" t="str">
        <f>IF(Application!E261="Developer Construction Loan","No",IF(Application!E261="Direct Loans to Homebuyers","Yes","No"))</f>
        <v>No</v>
      </c>
      <c r="E68" s="347"/>
      <c r="F68" s="347"/>
      <c r="G68" s="367"/>
      <c r="H68" s="367"/>
      <c r="I68" s="342"/>
      <c r="J68" s="342"/>
    </row>
    <row r="69" spans="1:10" x14ac:dyDescent="0.2">
      <c r="A69" s="1"/>
      <c r="B69" s="1"/>
      <c r="C69" s="1"/>
      <c r="D69" s="1"/>
      <c r="E69" s="1"/>
      <c r="F69" s="1"/>
    </row>
    <row r="70" spans="1:10" x14ac:dyDescent="0.2">
      <c r="B70" s="34" t="s">
        <v>999</v>
      </c>
      <c r="C70" s="221">
        <v>1</v>
      </c>
      <c r="D70" s="81" t="s">
        <v>1000</v>
      </c>
      <c r="E70" s="222" t="str">
        <f>IF(Application!I1024="","",Application!I1024)</f>
        <v/>
      </c>
      <c r="F70"/>
      <c r="G70" s="81" t="s">
        <v>265</v>
      </c>
      <c r="H70" s="224" t="str">
        <f>IF(Application!F1024=0,"",Application!F1024)</f>
        <v/>
      </c>
      <c r="I70" s="716" t="s">
        <v>1005</v>
      </c>
      <c r="J70" s="716"/>
    </row>
    <row r="71" spans="1:10" x14ac:dyDescent="0.2">
      <c r="A71" s="36"/>
      <c r="C71" s="209" t="s">
        <v>995</v>
      </c>
      <c r="D71" s="209" t="s">
        <v>996</v>
      </c>
      <c r="E71" s="209" t="s">
        <v>997</v>
      </c>
      <c r="F71" s="209" t="s">
        <v>998</v>
      </c>
      <c r="G71" s="717" t="s">
        <v>1008</v>
      </c>
      <c r="H71" s="717"/>
      <c r="I71" s="716"/>
      <c r="J71" s="716"/>
    </row>
    <row r="72" spans="1:10" x14ac:dyDescent="0.2">
      <c r="A72" s="9" t="s">
        <v>802</v>
      </c>
      <c r="C72" s="223" t="str">
        <f>IF(E70="","",Application!$F$1081)</f>
        <v/>
      </c>
      <c r="D72" s="315" t="str">
        <f>IF(C72="","",Application!$I$1081*12)</f>
        <v/>
      </c>
      <c r="E72" s="340" t="str">
        <f>IF(E70="","",Application!B1075)</f>
        <v/>
      </c>
      <c r="F72" s="341" t="str">
        <f>IF(E70="","",Application!C1075)</f>
        <v/>
      </c>
      <c r="G72" s="720" t="str">
        <f>IF(E70="","",Application!$J$1017)</f>
        <v/>
      </c>
      <c r="H72" s="721"/>
      <c r="I72" s="718" t="str">
        <f>IF(E70="","",SUM(F72:F76))</f>
        <v/>
      </c>
      <c r="J72" s="719"/>
    </row>
    <row r="73" spans="1:10" x14ac:dyDescent="0.2">
      <c r="A73" s="9" t="s">
        <v>468</v>
      </c>
      <c r="C73" s="223" t="str">
        <f>IF(E70="","",Application!$E$1093)</f>
        <v/>
      </c>
      <c r="D73" s="315" t="str">
        <f>IF(C73="","",Application!$G$1093*12)</f>
        <v/>
      </c>
      <c r="E73" s="340" t="str">
        <f>IF(E70="","",Application!B1087)</f>
        <v/>
      </c>
      <c r="F73" s="341" t="str">
        <f>IF(E70="","",Application!C1087)</f>
        <v/>
      </c>
      <c r="G73" s="717" t="s">
        <v>458</v>
      </c>
      <c r="H73" s="717"/>
      <c r="I73" s="722" t="s">
        <v>1092</v>
      </c>
      <c r="J73" s="717"/>
    </row>
    <row r="74" spans="1:10" x14ac:dyDescent="0.2">
      <c r="A74" s="9" t="s">
        <v>1003</v>
      </c>
      <c r="C74"/>
      <c r="D74"/>
      <c r="E74" s="340" t="str">
        <f>IF(E70="","",Application!E1003)</f>
        <v/>
      </c>
      <c r="F74" s="341" t="str">
        <f>IF(E70="","",E74/12)</f>
        <v/>
      </c>
      <c r="G74" s="719" t="str">
        <f>IF(E70="","",Application!A1017)</f>
        <v/>
      </c>
      <c r="H74" s="719"/>
      <c r="I74" s="718" t="str">
        <f>IF(E70="","",(I72/G72))</f>
        <v/>
      </c>
      <c r="J74" s="719"/>
    </row>
    <row r="75" spans="1:10" x14ac:dyDescent="0.2">
      <c r="A75" s="9" t="s">
        <v>1004</v>
      </c>
      <c r="C75"/>
      <c r="D75"/>
      <c r="E75" s="340" t="str">
        <f>IF(E70="","",Application!F1003)</f>
        <v/>
      </c>
      <c r="F75" s="341" t="str">
        <f>IF(E70="","",E75/12)</f>
        <v/>
      </c>
      <c r="G75" s="717" t="s">
        <v>1007</v>
      </c>
      <c r="H75" s="717"/>
      <c r="I75" s="342"/>
      <c r="J75" s="342"/>
    </row>
    <row r="76" spans="1:10" x14ac:dyDescent="0.2">
      <c r="A76" s="9" t="s">
        <v>1002</v>
      </c>
      <c r="C76"/>
      <c r="D76"/>
      <c r="E76" s="340" t="str">
        <f>IF(E70="","",Application!G1003)</f>
        <v/>
      </c>
      <c r="F76" s="341" t="str">
        <f>IF(E70="","",E76/12)</f>
        <v/>
      </c>
      <c r="G76" s="639" t="str">
        <f>IF(E70="","",LOOKUP(Application!$A$1017,'Income Limits, Mortgage, Amort'!$A$3:$B$31))</f>
        <v/>
      </c>
      <c r="H76" s="639"/>
      <c r="I76" s="717" t="s">
        <v>1006</v>
      </c>
      <c r="J76" s="717"/>
    </row>
    <row r="77" spans="1:10" x14ac:dyDescent="0.2">
      <c r="C77"/>
      <c r="D77" s="725" t="s">
        <v>1091</v>
      </c>
      <c r="E77" s="725"/>
      <c r="F77" s="726"/>
      <c r="G77" s="639" t="str">
        <f>IF(E70="","",(I74)*12)</f>
        <v/>
      </c>
      <c r="H77" s="639"/>
      <c r="I77" s="715" t="str">
        <f>IF(E70="","",G77/G76)</f>
        <v/>
      </c>
      <c r="J77" s="715"/>
    </row>
    <row r="78" spans="1:10" x14ac:dyDescent="0.2">
      <c r="A78" s="9" t="s">
        <v>1109</v>
      </c>
      <c r="C78"/>
      <c r="D78" s="368" t="str">
        <f>IF(Application!E261="Developer Construction Loan","No",IF(Application!E261="Direct Loans to Homebuyers","Yes","No"))</f>
        <v>No</v>
      </c>
      <c r="E78" s="347"/>
      <c r="F78" s="347"/>
      <c r="G78" s="367"/>
      <c r="H78" s="367"/>
      <c r="I78" s="342"/>
      <c r="J78" s="342"/>
    </row>
    <row r="79" spans="1:10" x14ac:dyDescent="0.2">
      <c r="A79" s="1"/>
      <c r="B79" s="1"/>
      <c r="C79" s="1"/>
      <c r="D79" s="1"/>
      <c r="E79" s="1"/>
      <c r="F79" s="1"/>
    </row>
    <row r="80" spans="1:10" x14ac:dyDescent="0.2">
      <c r="B80" s="34" t="s">
        <v>999</v>
      </c>
      <c r="C80" s="221">
        <v>2</v>
      </c>
      <c r="D80" s="81" t="s">
        <v>1000</v>
      </c>
      <c r="E80" s="222" t="str">
        <f>IF(Application!I1025="","",Application!I1025)</f>
        <v/>
      </c>
      <c r="F80"/>
      <c r="G80" s="81" t="s">
        <v>265</v>
      </c>
      <c r="H80" s="224" t="str">
        <f>IF(Application!F1025=0,"",Application!F1025)</f>
        <v/>
      </c>
      <c r="I80" s="716" t="s">
        <v>1005</v>
      </c>
      <c r="J80" s="716"/>
    </row>
    <row r="81" spans="1:10" x14ac:dyDescent="0.2">
      <c r="A81" s="36"/>
      <c r="C81" s="209" t="s">
        <v>995</v>
      </c>
      <c r="D81" s="209" t="s">
        <v>996</v>
      </c>
      <c r="E81" s="209" t="s">
        <v>997</v>
      </c>
      <c r="F81" s="209" t="s">
        <v>998</v>
      </c>
      <c r="G81" s="717" t="s">
        <v>1008</v>
      </c>
      <c r="H81" s="717"/>
      <c r="I81" s="716"/>
      <c r="J81" s="716"/>
    </row>
    <row r="82" spans="1:10" x14ac:dyDescent="0.2">
      <c r="A82" s="9" t="s">
        <v>802</v>
      </c>
      <c r="C82" s="223" t="str">
        <f>IF(E80="","",Application!$F$1081)</f>
        <v/>
      </c>
      <c r="D82" s="315" t="str">
        <f>IF(C82="","",Application!$I$1081*12)</f>
        <v/>
      </c>
      <c r="E82" s="340" t="str">
        <f>IF(E80="","",Application!B1076)</f>
        <v/>
      </c>
      <c r="F82" s="341" t="str">
        <f>IF(E80="","",Application!C1076)</f>
        <v/>
      </c>
      <c r="G82" s="720" t="str">
        <f>IF(E80="","",Application!$J$1017)</f>
        <v/>
      </c>
      <c r="H82" s="721"/>
      <c r="I82" s="718" t="str">
        <f>IF(E80="","",SUM(F82:F86))</f>
        <v/>
      </c>
      <c r="J82" s="719"/>
    </row>
    <row r="83" spans="1:10" x14ac:dyDescent="0.2">
      <c r="A83" s="9" t="s">
        <v>468</v>
      </c>
      <c r="C83" s="223" t="str">
        <f>IF(E80="","",Application!$E$1093)</f>
        <v/>
      </c>
      <c r="D83" s="315" t="str">
        <f>IF(C83="","",Application!$G$1093*12)</f>
        <v/>
      </c>
      <c r="E83" s="340" t="str">
        <f>IF(E80="","",Application!B1088)</f>
        <v/>
      </c>
      <c r="F83" s="341" t="str">
        <f>IF(E80="","",Application!C1088)</f>
        <v/>
      </c>
      <c r="G83" s="717" t="s">
        <v>458</v>
      </c>
      <c r="H83" s="717"/>
      <c r="I83" s="722" t="s">
        <v>1092</v>
      </c>
      <c r="J83" s="717"/>
    </row>
    <row r="84" spans="1:10" x14ac:dyDescent="0.2">
      <c r="A84" s="9" t="s">
        <v>1003</v>
      </c>
      <c r="C84"/>
      <c r="D84"/>
      <c r="E84" s="340" t="str">
        <f>IF(E80="","",Application!E1004)</f>
        <v/>
      </c>
      <c r="F84" s="341" t="str">
        <f>IF(E80="","",E84/12)</f>
        <v/>
      </c>
      <c r="G84" s="719" t="str">
        <f>IF(E80="","",Application!A1017)</f>
        <v/>
      </c>
      <c r="H84" s="719"/>
      <c r="I84" s="718" t="str">
        <f>IF(E80="","",(I82/G82))</f>
        <v/>
      </c>
      <c r="J84" s="719"/>
    </row>
    <row r="85" spans="1:10" x14ac:dyDescent="0.2">
      <c r="A85" s="9" t="s">
        <v>1004</v>
      </c>
      <c r="C85"/>
      <c r="D85"/>
      <c r="E85" s="340" t="str">
        <f>IF(E80="","",Application!F1004)</f>
        <v/>
      </c>
      <c r="F85" s="341" t="str">
        <f>IF(E80="","",E85/12)</f>
        <v/>
      </c>
      <c r="G85" s="717" t="s">
        <v>1007</v>
      </c>
      <c r="H85" s="717"/>
      <c r="I85" s="342"/>
      <c r="J85" s="342"/>
    </row>
    <row r="86" spans="1:10" x14ac:dyDescent="0.2">
      <c r="A86" s="9" t="s">
        <v>1002</v>
      </c>
      <c r="C86"/>
      <c r="D86"/>
      <c r="E86" s="340" t="str">
        <f>IF(E80="","",Application!G1004)</f>
        <v/>
      </c>
      <c r="F86" s="341" t="str">
        <f>IF(E80="","",E86/12)</f>
        <v/>
      </c>
      <c r="G86" s="639" t="str">
        <f>IF(E80="","",LOOKUP(Application!$A$1017,'Income Limits, Mortgage, Amort'!$A$3:$B$31))</f>
        <v/>
      </c>
      <c r="H86" s="639"/>
      <c r="I86" s="717" t="s">
        <v>1006</v>
      </c>
      <c r="J86" s="717"/>
    </row>
    <row r="87" spans="1:10" x14ac:dyDescent="0.2">
      <c r="C87"/>
      <c r="D87" s="725" t="s">
        <v>1091</v>
      </c>
      <c r="E87" s="725"/>
      <c r="F87" s="726"/>
      <c r="G87" s="639" t="str">
        <f>IF(E80="","",(I84)*12)</f>
        <v/>
      </c>
      <c r="H87" s="639"/>
      <c r="I87" s="715" t="str">
        <f>IF(E80="","",G87/G86)</f>
        <v/>
      </c>
      <c r="J87" s="715"/>
    </row>
    <row r="88" spans="1:10" x14ac:dyDescent="0.2">
      <c r="A88" s="9" t="s">
        <v>1109</v>
      </c>
      <c r="C88"/>
      <c r="D88" s="368" t="str">
        <f>IF(Application!E261="Developer Construction Loan","No",IF(Application!E261="Direct Loans to Homebuyers","Yes","No"))</f>
        <v>No</v>
      </c>
      <c r="E88" s="347"/>
      <c r="F88" s="347"/>
      <c r="G88" s="367"/>
      <c r="H88" s="367"/>
      <c r="I88" s="342"/>
      <c r="J88" s="342"/>
    </row>
    <row r="89" spans="1:10" x14ac:dyDescent="0.2">
      <c r="A89" s="1"/>
      <c r="B89" s="1"/>
      <c r="C89" s="1"/>
      <c r="D89" s="1"/>
      <c r="E89" s="1"/>
      <c r="F89" s="1"/>
    </row>
    <row r="90" spans="1:10" x14ac:dyDescent="0.2">
      <c r="B90" s="34" t="s">
        <v>999</v>
      </c>
      <c r="C90" s="221">
        <v>3</v>
      </c>
      <c r="D90" s="81" t="s">
        <v>1000</v>
      </c>
      <c r="E90" s="222" t="str">
        <f>IF(Application!I1026="","",Application!I1026)</f>
        <v/>
      </c>
      <c r="F90"/>
      <c r="G90" s="81" t="s">
        <v>265</v>
      </c>
      <c r="H90" s="224" t="str">
        <f>IF(Application!F1026=0,"",Application!F1026)</f>
        <v/>
      </c>
      <c r="I90" s="716" t="s">
        <v>1005</v>
      </c>
      <c r="J90" s="716"/>
    </row>
    <row r="91" spans="1:10" x14ac:dyDescent="0.2">
      <c r="A91" s="36"/>
      <c r="C91" s="209" t="s">
        <v>995</v>
      </c>
      <c r="D91" s="209" t="s">
        <v>996</v>
      </c>
      <c r="E91" s="209" t="s">
        <v>997</v>
      </c>
      <c r="F91" s="209" t="s">
        <v>998</v>
      </c>
      <c r="G91" s="717" t="s">
        <v>1008</v>
      </c>
      <c r="H91" s="717"/>
      <c r="I91" s="716"/>
      <c r="J91" s="716"/>
    </row>
    <row r="92" spans="1:10" x14ac:dyDescent="0.2">
      <c r="A92" s="9" t="s">
        <v>802</v>
      </c>
      <c r="C92" s="223" t="str">
        <f>IF(E90="","",Application!$F$1081)</f>
        <v/>
      </c>
      <c r="D92" s="315" t="str">
        <f>IF(C92="","",Application!$I$1081*12)</f>
        <v/>
      </c>
      <c r="E92" s="340" t="str">
        <f>IF(E90="","",Application!B1077)</f>
        <v/>
      </c>
      <c r="F92" s="341" t="str">
        <f>IF(E90="","",Application!C1077)</f>
        <v/>
      </c>
      <c r="G92" s="720" t="str">
        <f>IF(E90="","",Application!$J$1017)</f>
        <v/>
      </c>
      <c r="H92" s="721"/>
      <c r="I92" s="718" t="str">
        <f>IF(E90="","",SUM(F92:F96))</f>
        <v/>
      </c>
      <c r="J92" s="719"/>
    </row>
    <row r="93" spans="1:10" x14ac:dyDescent="0.2">
      <c r="A93" s="9" t="s">
        <v>468</v>
      </c>
      <c r="C93" s="223" t="str">
        <f>IF(E90="","",Application!$E$1093)</f>
        <v/>
      </c>
      <c r="D93" s="315" t="str">
        <f>IF(C93="","",Application!$G$1093*12)</f>
        <v/>
      </c>
      <c r="E93" s="340" t="str">
        <f>IF(E90="","",Application!B1089)</f>
        <v/>
      </c>
      <c r="F93" s="341" t="str">
        <f>IF(E90="","",Application!C1089)</f>
        <v/>
      </c>
      <c r="G93" s="717" t="s">
        <v>458</v>
      </c>
      <c r="H93" s="717"/>
      <c r="I93" s="722" t="s">
        <v>1092</v>
      </c>
      <c r="J93" s="717"/>
    </row>
    <row r="94" spans="1:10" x14ac:dyDescent="0.2">
      <c r="A94" s="9" t="s">
        <v>1003</v>
      </c>
      <c r="C94"/>
      <c r="D94"/>
      <c r="E94" s="340" t="str">
        <f>IF(E90="","",Application!E1005)</f>
        <v/>
      </c>
      <c r="F94" s="341" t="str">
        <f>IF(E90="","",E94/12)</f>
        <v/>
      </c>
      <c r="G94" s="719" t="str">
        <f>IF(E90="","",Application!A1017)</f>
        <v/>
      </c>
      <c r="H94" s="719"/>
      <c r="I94" s="718" t="str">
        <f>IF(E90="","",(I92/G92))</f>
        <v/>
      </c>
      <c r="J94" s="719"/>
    </row>
    <row r="95" spans="1:10" x14ac:dyDescent="0.2">
      <c r="A95" s="9" t="s">
        <v>1004</v>
      </c>
      <c r="C95"/>
      <c r="D95"/>
      <c r="E95" s="340" t="str">
        <f>IF(E90="","",Application!F1005)</f>
        <v/>
      </c>
      <c r="F95" s="341" t="str">
        <f>IF(E90="","",E95/12)</f>
        <v/>
      </c>
      <c r="G95" s="717" t="s">
        <v>1007</v>
      </c>
      <c r="H95" s="717"/>
      <c r="I95" s="342"/>
      <c r="J95" s="342"/>
    </row>
    <row r="96" spans="1:10" x14ac:dyDescent="0.2">
      <c r="A96" s="9" t="s">
        <v>1002</v>
      </c>
      <c r="C96"/>
      <c r="D96"/>
      <c r="E96" s="340" t="str">
        <f>IF(E90="","",Application!G1005)</f>
        <v/>
      </c>
      <c r="F96" s="341" t="str">
        <f>IF(E90="","",E96/12)</f>
        <v/>
      </c>
      <c r="G96" s="639" t="str">
        <f>IF(E90="","",LOOKUP(Application!$A$1017,'Income Limits, Mortgage, Amort'!$A$3:$B$31))</f>
        <v/>
      </c>
      <c r="H96" s="639"/>
      <c r="I96" s="717" t="s">
        <v>1006</v>
      </c>
      <c r="J96" s="717"/>
    </row>
    <row r="97" spans="1:10" x14ac:dyDescent="0.2">
      <c r="C97"/>
      <c r="D97" s="725" t="s">
        <v>1091</v>
      </c>
      <c r="E97" s="725"/>
      <c r="F97" s="726"/>
      <c r="G97" s="639" t="str">
        <f>IF(E90="","",(I94)*12)</f>
        <v/>
      </c>
      <c r="H97" s="639"/>
      <c r="I97" s="715" t="str">
        <f>IF(E90="","",G97/G96)</f>
        <v/>
      </c>
      <c r="J97" s="715"/>
    </row>
    <row r="98" spans="1:10" x14ac:dyDescent="0.2">
      <c r="A98" s="9" t="s">
        <v>1109</v>
      </c>
      <c r="C98"/>
      <c r="D98" s="368" t="str">
        <f>IF(Application!E261="Developer Construction Loan","No",IF(Application!E261="Direct Loans to Homebuyers","Yes","No"))</f>
        <v>No</v>
      </c>
      <c r="E98" s="347"/>
      <c r="F98" s="347"/>
      <c r="G98" s="367"/>
      <c r="H98" s="367"/>
      <c r="I98" s="342"/>
      <c r="J98" s="342"/>
    </row>
    <row r="99" spans="1:10" x14ac:dyDescent="0.2">
      <c r="A99" s="1"/>
      <c r="B99" s="1"/>
      <c r="C99" s="1"/>
      <c r="D99" s="1"/>
      <c r="E99" s="1"/>
      <c r="F99" s="1"/>
    </row>
    <row r="100" spans="1:10" x14ac:dyDescent="0.2">
      <c r="B100" s="34" t="s">
        <v>999</v>
      </c>
      <c r="C100" s="221">
        <v>4</v>
      </c>
      <c r="D100" s="81" t="s">
        <v>1000</v>
      </c>
      <c r="E100" s="222" t="str">
        <f>IF(Application!I1027="","",Application!I1027)</f>
        <v/>
      </c>
      <c r="F100"/>
      <c r="G100" s="81" t="s">
        <v>265</v>
      </c>
      <c r="H100" s="224" t="str">
        <f>IF(Application!F1027=0,"",Application!F1027)</f>
        <v/>
      </c>
      <c r="I100" s="716" t="s">
        <v>1005</v>
      </c>
      <c r="J100" s="716"/>
    </row>
    <row r="101" spans="1:10" x14ac:dyDescent="0.2">
      <c r="A101" s="36"/>
      <c r="C101" s="209" t="s">
        <v>995</v>
      </c>
      <c r="D101" s="209" t="s">
        <v>996</v>
      </c>
      <c r="E101" s="209" t="s">
        <v>997</v>
      </c>
      <c r="F101" s="209" t="s">
        <v>998</v>
      </c>
      <c r="G101" s="717" t="s">
        <v>1008</v>
      </c>
      <c r="H101" s="717"/>
      <c r="I101" s="716"/>
      <c r="J101" s="716"/>
    </row>
    <row r="102" spans="1:10" x14ac:dyDescent="0.2">
      <c r="A102" s="9" t="s">
        <v>802</v>
      </c>
      <c r="C102" s="223" t="str">
        <f>IF(E100="","",Application!$F$1081)</f>
        <v/>
      </c>
      <c r="D102" s="315" t="str">
        <f>IF(C102="","",Application!$I$1081*12)</f>
        <v/>
      </c>
      <c r="E102" s="340" t="str">
        <f>IF(E100="","",Application!B1078)</f>
        <v/>
      </c>
      <c r="F102" s="341" t="str">
        <f>IF(E100="","",Application!C1078)</f>
        <v/>
      </c>
      <c r="G102" s="720" t="str">
        <f>IF(E100="","",Application!$J$1017)</f>
        <v/>
      </c>
      <c r="H102" s="721"/>
      <c r="I102" s="718" t="str">
        <f>IF(E100="","",SUM(F102:F106))</f>
        <v/>
      </c>
      <c r="J102" s="719"/>
    </row>
    <row r="103" spans="1:10" x14ac:dyDescent="0.2">
      <c r="A103" s="9" t="s">
        <v>468</v>
      </c>
      <c r="C103" s="223" t="str">
        <f>IF(E100="","",Application!$E$1093)</f>
        <v/>
      </c>
      <c r="D103" s="315" t="str">
        <f>IF(C103="","",Application!$G$1093*12)</f>
        <v/>
      </c>
      <c r="E103" s="340" t="str">
        <f>IF(E100="","",Application!B1090)</f>
        <v/>
      </c>
      <c r="F103" s="341" t="str">
        <f>IF(E100="","",Application!C1090)</f>
        <v/>
      </c>
      <c r="G103" s="717" t="s">
        <v>458</v>
      </c>
      <c r="H103" s="717"/>
      <c r="I103" s="722" t="s">
        <v>1092</v>
      </c>
      <c r="J103" s="717"/>
    </row>
    <row r="104" spans="1:10" x14ac:dyDescent="0.2">
      <c r="A104" s="9" t="s">
        <v>1003</v>
      </c>
      <c r="C104"/>
      <c r="D104"/>
      <c r="E104" s="340" t="str">
        <f>IF(E100="","",Application!E1006)</f>
        <v/>
      </c>
      <c r="F104" s="341" t="str">
        <f>IF(E100="","",E104/12)</f>
        <v/>
      </c>
      <c r="G104" s="719" t="str">
        <f>IF(E100="","",Application!A1017)</f>
        <v/>
      </c>
      <c r="H104" s="719"/>
      <c r="I104" s="718" t="str">
        <f>IF(E100="","",(I102/G102))</f>
        <v/>
      </c>
      <c r="J104" s="719"/>
    </row>
    <row r="105" spans="1:10" x14ac:dyDescent="0.2">
      <c r="A105" s="9" t="s">
        <v>1004</v>
      </c>
      <c r="C105"/>
      <c r="D105"/>
      <c r="E105" s="340" t="str">
        <f>IF(E100="","",Application!F1006)</f>
        <v/>
      </c>
      <c r="F105" s="341" t="str">
        <f>IF(E100="","",E105/12)</f>
        <v/>
      </c>
      <c r="G105" s="717" t="s">
        <v>1007</v>
      </c>
      <c r="H105" s="717"/>
      <c r="I105" s="342"/>
      <c r="J105" s="342"/>
    </row>
    <row r="106" spans="1:10" x14ac:dyDescent="0.2">
      <c r="A106" s="9" t="s">
        <v>1002</v>
      </c>
      <c r="C106"/>
      <c r="D106"/>
      <c r="E106" s="340" t="str">
        <f>IF(E100="","",Application!G1006)</f>
        <v/>
      </c>
      <c r="F106" s="341" t="str">
        <f>IF(E100="","",E106/12)</f>
        <v/>
      </c>
      <c r="G106" s="639" t="str">
        <f>IF(E100="","",LOOKUP(Application!$A$1017,'Income Limits, Mortgage, Amort'!$A$3:$B$31))</f>
        <v/>
      </c>
      <c r="H106" s="639"/>
      <c r="I106" s="717" t="s">
        <v>1006</v>
      </c>
      <c r="J106" s="717"/>
    </row>
    <row r="107" spans="1:10" x14ac:dyDescent="0.2">
      <c r="A107" s="1"/>
      <c r="B107" s="1"/>
      <c r="C107" s="1"/>
      <c r="D107" s="725" t="s">
        <v>1091</v>
      </c>
      <c r="E107" s="725"/>
      <c r="F107" s="726"/>
      <c r="G107" s="639" t="str">
        <f>IF(E100="","",(I104)*12)</f>
        <v/>
      </c>
      <c r="H107" s="639"/>
      <c r="I107" s="715" t="str">
        <f>IF(E100="","",G107/G106)</f>
        <v/>
      </c>
      <c r="J107" s="715"/>
    </row>
    <row r="108" spans="1:10" x14ac:dyDescent="0.2">
      <c r="A108" s="9" t="s">
        <v>1109</v>
      </c>
      <c r="B108"/>
      <c r="C108"/>
      <c r="D108" s="368" t="str">
        <f>IF(Application!E261="Developer Construction Loan","No",IF(Application!E261="Direct Loans to Homebuyers","Yes","No"))</f>
        <v>No</v>
      </c>
      <c r="E108"/>
      <c r="F108"/>
      <c r="G108"/>
      <c r="H108"/>
      <c r="I108"/>
      <c r="J108"/>
    </row>
  </sheetData>
  <sheetProtection algorithmName="SHA-512" hashValue="YdKosP77oBQbcg7sJcs36B6cnV+zy/jhzhrDLzy0JcaVScTf+OGElUqo7saF7yd8zpCCgSBXq5WmThxK1+pCEQ==" saltValue="o4fjeLTqij/v2uooRzp5Kg==" spinCount="100000" sheet="1" objects="1" scenarios="1"/>
  <mergeCells count="88">
    <mergeCell ref="D97:F97"/>
    <mergeCell ref="G97:H97"/>
    <mergeCell ref="D107:F107"/>
    <mergeCell ref="D57:G57"/>
    <mergeCell ref="G107:H107"/>
    <mergeCell ref="G96:H96"/>
    <mergeCell ref="G86:H86"/>
    <mergeCell ref="G67:H67"/>
    <mergeCell ref="G73:H73"/>
    <mergeCell ref="D67:F67"/>
    <mergeCell ref="D77:F77"/>
    <mergeCell ref="G82:H82"/>
    <mergeCell ref="I107:J107"/>
    <mergeCell ref="G106:H106"/>
    <mergeCell ref="I106:J106"/>
    <mergeCell ref="G103:H103"/>
    <mergeCell ref="I103:J103"/>
    <mergeCell ref="G104:H104"/>
    <mergeCell ref="I104:J104"/>
    <mergeCell ref="G105:H105"/>
    <mergeCell ref="I97:J97"/>
    <mergeCell ref="I100:J101"/>
    <mergeCell ref="G101:H101"/>
    <mergeCell ref="G102:H102"/>
    <mergeCell ref="D87:F87"/>
    <mergeCell ref="I102:J102"/>
    <mergeCell ref="G93:H93"/>
    <mergeCell ref="I93:J93"/>
    <mergeCell ref="G94:H94"/>
    <mergeCell ref="I94:J94"/>
    <mergeCell ref="G95:H95"/>
    <mergeCell ref="I96:J96"/>
    <mergeCell ref="I87:J87"/>
    <mergeCell ref="I90:J91"/>
    <mergeCell ref="G91:H91"/>
    <mergeCell ref="G92:H92"/>
    <mergeCell ref="I92:J92"/>
    <mergeCell ref="I86:J86"/>
    <mergeCell ref="G87:H87"/>
    <mergeCell ref="G83:H83"/>
    <mergeCell ref="I83:J83"/>
    <mergeCell ref="G84:H84"/>
    <mergeCell ref="I84:J84"/>
    <mergeCell ref="G85:H85"/>
    <mergeCell ref="G8:H8"/>
    <mergeCell ref="A1:J1"/>
    <mergeCell ref="A2:J2"/>
    <mergeCell ref="A3:J3"/>
    <mergeCell ref="A4:J4"/>
    <mergeCell ref="A6:J6"/>
    <mergeCell ref="D5:G5"/>
    <mergeCell ref="B12:D12"/>
    <mergeCell ref="D48:E48"/>
    <mergeCell ref="B39:D39"/>
    <mergeCell ref="C45:E45"/>
    <mergeCell ref="C46:E46"/>
    <mergeCell ref="I60:J61"/>
    <mergeCell ref="I62:J62"/>
    <mergeCell ref="G61:H61"/>
    <mergeCell ref="G62:H62"/>
    <mergeCell ref="I66:J66"/>
    <mergeCell ref="G65:H65"/>
    <mergeCell ref="G66:H66"/>
    <mergeCell ref="I63:J63"/>
    <mergeCell ref="I64:J64"/>
    <mergeCell ref="G63:H63"/>
    <mergeCell ref="G64:H64"/>
    <mergeCell ref="A53:J53"/>
    <mergeCell ref="A54:J54"/>
    <mergeCell ref="A55:J55"/>
    <mergeCell ref="A56:J56"/>
    <mergeCell ref="A58:J58"/>
    <mergeCell ref="I67:J67"/>
    <mergeCell ref="I80:J81"/>
    <mergeCell ref="G81:H81"/>
    <mergeCell ref="G75:H75"/>
    <mergeCell ref="I82:J82"/>
    <mergeCell ref="G74:H74"/>
    <mergeCell ref="I74:J74"/>
    <mergeCell ref="I70:J71"/>
    <mergeCell ref="G71:H71"/>
    <mergeCell ref="G72:H72"/>
    <mergeCell ref="I72:J72"/>
    <mergeCell ref="I76:J76"/>
    <mergeCell ref="G76:H76"/>
    <mergeCell ref="I77:J77"/>
    <mergeCell ref="I73:J73"/>
    <mergeCell ref="G77:H77"/>
  </mergeCells>
  <phoneticPr fontId="2" type="noConversion"/>
  <printOptions horizontalCentered="1"/>
  <pageMargins left="0.75" right="0.75" top="1" bottom="1" header="0.5" footer="0.5"/>
  <pageSetup scale="93" orientation="portrait" r:id="rId1"/>
  <headerFooter alignWithMargins="0">
    <oddFooter>&amp;LLast Updated May 18, 2016&amp;CPage &amp;P of &amp;N</oddFooter>
  </headerFooter>
  <rowBreaks count="1" manualBreakCount="1">
    <brk id="5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Application</vt:lpstr>
      <vt:lpstr>Income Limits, Mortgage, Amort</vt:lpstr>
      <vt:lpstr>Proforma</vt:lpstr>
      <vt:lpstr>Allowance</vt:lpstr>
      <vt:lpstr>Application!Print_Area</vt:lpstr>
      <vt:lpstr>'Income Limits, Mortgage, Amort'!Print_Area</vt:lpstr>
      <vt:lpstr>Proforma!Print_Area</vt:lpstr>
      <vt:lpstr>'Income Limits, Mortgage, Amort'!Print_Titles</vt:lpstr>
      <vt:lpstr>Unit_Configuration</vt:lpstr>
    </vt:vector>
  </TitlesOfParts>
  <Company>State of Utah-DCC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Herbert-Voss</dc:creator>
  <cp:lastModifiedBy>Daniel Herbert-Voss</cp:lastModifiedBy>
  <cp:lastPrinted>2012-08-29T19:07:56Z</cp:lastPrinted>
  <dcterms:created xsi:type="dcterms:W3CDTF">2009-02-26T15:31:03Z</dcterms:created>
  <dcterms:modified xsi:type="dcterms:W3CDTF">2016-05-18T20:07:48Z</dcterms:modified>
</cp:coreProperties>
</file>