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7530" windowHeight="5010" activeTab="2"/>
  </bookViews>
  <sheets>
    <sheet name="Chart1" sheetId="1" r:id="rId1"/>
    <sheet name="Sheet1" sheetId="2" r:id="rId2"/>
    <sheet name="TABLE5" sheetId="3" r:id="rId3"/>
  </sheets>
  <definedNames>
    <definedName name="_xlnm.Print_Area" localSheetId="2">'TABLE5'!$J$1:$T$335</definedName>
    <definedName name="_xlnm.Print_Area">'TABLE5'!$P$638:$V$688</definedName>
  </definedNames>
  <calcPr fullCalcOnLoad="1"/>
</workbook>
</file>

<file path=xl/sharedStrings.xml><?xml version="1.0" encoding="utf-8"?>
<sst xmlns="http://schemas.openxmlformats.org/spreadsheetml/2006/main" count="755" uniqueCount="81">
  <si>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</si>
  <si>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</si>
  <si>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</si>
  <si>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</si>
  <si>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</si>
  <si>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</si>
  <si>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</si>
  <si>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</si>
  <si>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</si>
  <si>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</si>
  <si>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</si>
  <si>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</si>
  <si>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</si>
  <si>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</si>
  <si>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</si>
  <si>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</si>
  <si>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</si>
  <si>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</si>
  <si>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</si>
  <si>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</si>
  <si>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</si>
  <si>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</si>
  <si>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</si>
  <si>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</si>
  <si>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</si>
  <si>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</si>
  <si>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</si>
  <si>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</si>
  <si>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</si>
  <si>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</si>
  <si>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</si>
  <si>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</si>
  <si>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</si>
  <si>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</si>
  <si>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</si>
  <si>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</si>
  <si>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</si>
  <si>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</si>
  <si>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</si>
  <si>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</si>
  <si>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</si>
  <si>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</si>
  <si>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</si>
  <si>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</si>
  <si>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</si>
  <si>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</si>
  <si>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</si>
  <si>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</si>
  <si>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</si>
  <si>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</si>
  <si>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</si>
  <si>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</si>
  <si>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</si>
  <si>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</si>
  <si>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SIC 89</t>
  </si>
  <si>
    <t>SIC 86</t>
  </si>
  <si>
    <t>SIC 99</t>
  </si>
  <si>
    <t>TOTALS</t>
  </si>
  <si>
    <t>GOVERNMENT (92)</t>
  </si>
  <si>
    <t>500 &amp;  Over</t>
  </si>
  <si>
    <t>500 - 999</t>
  </si>
  <si>
    <t>10-19</t>
  </si>
  <si>
    <t>1000 &amp; Over</t>
  </si>
  <si>
    <t>totals 81 + 99</t>
  </si>
  <si>
    <t xml:space="preserve"> 500 &amp; Over</t>
  </si>
  <si>
    <t xml:space="preserve">250-499 </t>
  </si>
  <si>
    <t>EDUCATIONAL SERVICES (PRIVATE) (61)</t>
  </si>
  <si>
    <t xml:space="preserve">      Table 16.(Cont.) Utah Nonagricultural Establishments, Employment, and Wages</t>
  </si>
  <si>
    <t xml:space="preserve">      Table 16. Utah Establishments, Employment, and Wages</t>
  </si>
  <si>
    <t xml:space="preserve">   By Firm Size and NAICS Sector, First Quarter 2009</t>
  </si>
  <si>
    <t>SOURCE: Utah Department of Workforce Services, Workforce Research &amp; Analysis, Annual Report of Labor Market Information, 2009</t>
  </si>
  <si>
    <t xml:space="preserve">                  TABLE 16.  UTAH ESTABLISHMENTS, EMPLOYMENT, AND WAGES</t>
  </si>
  <si>
    <t>Average</t>
  </si>
  <si>
    <t>1/March</t>
  </si>
  <si>
    <t>Monthly</t>
  </si>
  <si>
    <t>Number of</t>
  </si>
  <si>
    <t>Wage</t>
  </si>
  <si>
    <t>Range</t>
  </si>
  <si>
    <t>1/ For the establishments which had zero employment in March, there were wages paid during the quarter to</t>
  </si>
  <si>
    <t xml:space="preserve">    employees that worked in January or February.</t>
  </si>
  <si>
    <t xml:space="preserve">                            BY FIRM SIZE AND NAICS SECTOR, FIRST QUARTER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</si>
</sst>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&quot;$&quot;#,##0"/>
    <numFmt numFmtId="171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3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Alignment="1">
      <alignment horizontal="left"/>
    </xf>
    <xf numFmtId="3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170" fontId="0" fillId="0" borderId="0" xfId="0" applyNumberFormat="1" applyAlignment="1">
      <alignment/>
    </xf>
    <xf numFmtId="3" fontId="5" fillId="0" borderId="0" xfId="0" applyFont="1" applyFill="1" applyAlignment="1">
      <alignment/>
    </xf>
    <xf numFmtId="3" fontId="5" fillId="0" borderId="0" xfId="0" applyFont="1" applyAlignment="1">
      <alignment/>
    </xf>
    <xf numFmtId="3" fontId="0" fillId="0" borderId="0" xfId="0" applyFont="1" applyAlignment="1">
      <alignment/>
    </xf>
    <xf numFmtId="3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815623"/>
        <c:axId val="54687424"/>
      </c:barChart>
      <c:catAx>
        <c:axId val="5081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87424"/>
        <c:crosses val="autoZero"/>
        <c:auto val="1"/>
        <c:lblOffset val="100"/>
        <c:noMultiLvlLbl val="0"/>
      </c:catAx>
      <c:valAx>
        <c:axId val="54687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15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Employment by Construction Firm Size; March 2005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75"/>
          <c:w val="0.62925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1"/>
                <c:pt idx="0">
                  <c:v>   Number of Establishments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Sheet1!$D$35:$D$46</c:f>
              <c:strCache/>
            </c:strRef>
          </c:cat>
          <c:val>
            <c:numRef>
              <c:f>Sheet1!$E$35:$E$46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Sheet1!$F$33:$F$34</c:f>
              <c:strCache>
                <c:ptCount val="1"/>
                <c:pt idx="0">
                  <c:v>    March   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Sheet1!$D$35:$D$46</c:f>
              <c:strCache/>
            </c:strRef>
          </c:cat>
          <c:val>
            <c:numRef>
              <c:f>Sheet1!$F$35:$F$46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424769"/>
        <c:axId val="496330"/>
      </c:barChart>
      <c:catAx>
        <c:axId val="2242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330"/>
        <c:crosses val="autoZero"/>
        <c:auto val="1"/>
        <c:lblOffset val="100"/>
        <c:noMultiLvlLbl val="0"/>
      </c:catAx>
      <c:valAx>
        <c:axId val="496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2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552575" y="3867150"/>
        <a:ext cx="4762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H65"/>
  <sheetViews>
    <sheetView workbookViewId="0" topLeftCell="A1">
      <selection activeCell="L49" sqref="L49"/>
    </sheetView>
  </sheetViews>
  <sheetFormatPr defaultColWidth="9.140625" defaultRowHeight="12.75"/>
  <cols>
    <col min="3" max="3" width="10.57421875" style="0" customWidth="1"/>
    <col min="4" max="4" width="11.7109375" style="0" customWidth="1"/>
    <col min="5" max="5" width="12.28125" style="0" customWidth="1"/>
    <col min="6" max="6" width="12.140625" style="0" customWidth="1"/>
    <col min="7" max="7" width="15.28125" style="0" customWidth="1"/>
  </cols>
  <sheetData>
    <row r="13" spans="4:6" ht="12.75">
      <c r="D13" s="1"/>
      <c r="E13" s="1"/>
      <c r="F13" s="1"/>
    </row>
    <row r="15" ht="12.75" hidden="1"/>
    <row r="16" ht="12.75" hidden="1"/>
    <row r="17" spans="7:8" ht="12.75" hidden="1">
      <c r="G17" s="7"/>
      <c r="H17" s="2"/>
    </row>
    <row r="18" ht="12.75" hidden="1">
      <c r="D18" s="5"/>
    </row>
    <row r="33" spans="4:6" ht="12.75">
      <c r="D33" t="s">
        <v>4</v>
      </c>
      <c r="E33" t="s">
        <v>5</v>
      </c>
      <c r="F33" t="s">
        <v>6</v>
      </c>
    </row>
    <row r="34" spans="4:6" ht="12.75">
      <c r="D34" t="s">
        <v>9</v>
      </c>
      <c r="E34" t="s">
        <v>10</v>
      </c>
      <c r="F34" t="s">
        <v>11</v>
      </c>
    </row>
    <row r="35" ht="12.75" hidden="1"/>
    <row r="36" ht="12.75" hidden="1"/>
    <row r="37" spans="4:6" ht="12.75" hidden="1">
      <c r="D37" s="1" t="s">
        <v>14</v>
      </c>
      <c r="E37" s="1">
        <f>SUM(E39:E46)</f>
        <v>11484</v>
      </c>
      <c r="F37" s="1">
        <f>SUM(F39:F46)</f>
        <v>74660</v>
      </c>
    </row>
    <row r="38" ht="12.75" hidden="1"/>
    <row r="39" spans="4:6" ht="12.75">
      <c r="D39" t="s">
        <v>15</v>
      </c>
      <c r="E39">
        <v>2509</v>
      </c>
      <c r="F39">
        <v>0</v>
      </c>
    </row>
    <row r="40" spans="4:6" ht="12.75">
      <c r="D40" t="s">
        <v>16</v>
      </c>
      <c r="E40">
        <v>5021</v>
      </c>
      <c r="F40">
        <v>10846</v>
      </c>
    </row>
    <row r="41" spans="4:6" ht="12.75">
      <c r="D41" t="s">
        <v>17</v>
      </c>
      <c r="E41">
        <v>2051</v>
      </c>
      <c r="F41">
        <v>13412</v>
      </c>
    </row>
    <row r="42" spans="4:6" ht="12.75">
      <c r="D42" s="5" t="s">
        <v>61</v>
      </c>
      <c r="E42">
        <v>1105</v>
      </c>
      <c r="F42">
        <v>14764</v>
      </c>
    </row>
    <row r="43" spans="4:6" ht="12.75">
      <c r="D43" t="s">
        <v>18</v>
      </c>
      <c r="E43">
        <v>600</v>
      </c>
      <c r="F43">
        <v>17856</v>
      </c>
    </row>
    <row r="44" spans="4:6" ht="12.75">
      <c r="D44" t="s">
        <v>19</v>
      </c>
      <c r="E44">
        <v>147</v>
      </c>
      <c r="F44">
        <v>9860</v>
      </c>
    </row>
    <row r="45" spans="4:6" ht="12.75">
      <c r="D45" t="s">
        <v>20</v>
      </c>
      <c r="E45">
        <v>46</v>
      </c>
      <c r="F45">
        <v>6192</v>
      </c>
    </row>
    <row r="46" spans="4:6" ht="12.75">
      <c r="D46" t="s">
        <v>22</v>
      </c>
      <c r="E46">
        <v>5</v>
      </c>
      <c r="F46">
        <v>1730</v>
      </c>
    </row>
    <row r="58" spans="3:5" ht="12.75">
      <c r="C58" t="s">
        <v>15</v>
      </c>
      <c r="D58">
        <v>2509</v>
      </c>
      <c r="E58">
        <v>0</v>
      </c>
    </row>
    <row r="59" spans="3:5" ht="12.75">
      <c r="C59" t="s">
        <v>16</v>
      </c>
      <c r="D59">
        <v>7530</v>
      </c>
      <c r="E59">
        <v>10846</v>
      </c>
    </row>
    <row r="60" spans="3:5" ht="12.75">
      <c r="C60" t="s">
        <v>17</v>
      </c>
      <c r="D60">
        <v>2051</v>
      </c>
      <c r="E60">
        <v>13412</v>
      </c>
    </row>
    <row r="61" spans="3:5" ht="12.75">
      <c r="C61" s="5" t="s">
        <v>61</v>
      </c>
      <c r="D61">
        <v>1105</v>
      </c>
      <c r="E61">
        <v>14764</v>
      </c>
    </row>
    <row r="62" spans="3:5" ht="12.75">
      <c r="C62" t="s">
        <v>18</v>
      </c>
      <c r="D62">
        <v>600</v>
      </c>
      <c r="E62">
        <v>17856</v>
      </c>
    </row>
    <row r="63" spans="3:5" ht="12.75">
      <c r="C63" t="s">
        <v>19</v>
      </c>
      <c r="D63">
        <v>147</v>
      </c>
      <c r="E63">
        <v>9860</v>
      </c>
    </row>
    <row r="64" spans="3:5" ht="12.75">
      <c r="C64" t="s">
        <v>20</v>
      </c>
      <c r="D64">
        <v>46</v>
      </c>
      <c r="E64">
        <v>6192</v>
      </c>
    </row>
    <row r="65" spans="3:5" ht="12.75">
      <c r="C65" t="s">
        <v>22</v>
      </c>
      <c r="D65">
        <v>5</v>
      </c>
      <c r="E65">
        <v>1730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0.140625" style="0" customWidth="1"/>
    <col min="3" max="3" width="13.7109375" style="0" customWidth="1"/>
    <col min="4" max="4" width="15.8515625" style="0" customWidth="1"/>
    <col min="5" max="5" width="11.7109375" style="0" customWidth="1"/>
    <col min="6" max="6" width="13.8515625" style="0" bestFit="1" customWidth="1"/>
    <col min="7" max="7" width="12.7109375" style="0" customWidth="1"/>
    <col min="8" max="8" width="14.7109375" style="0" customWidth="1"/>
    <col min="9" max="9" width="13.7109375" style="0" customWidth="1"/>
    <col min="10" max="10" width="17.00390625" style="0" customWidth="1"/>
    <col min="11" max="11" width="11.7109375" style="0" customWidth="1"/>
    <col min="13" max="13" width="14.421875" style="0" customWidth="1"/>
    <col min="14" max="14" width="11.7109375" style="0" customWidth="1"/>
    <col min="15" max="15" width="12.7109375" style="0" customWidth="1"/>
    <col min="16" max="16" width="14.7109375" style="0" customWidth="1"/>
    <col min="17" max="17" width="12.7109375" style="0" customWidth="1"/>
    <col min="18" max="18" width="11.140625" style="0" bestFit="1" customWidth="1"/>
    <col min="19" max="19" width="13.7109375" style="0" customWidth="1"/>
    <col min="20" max="20" width="14.7109375" style="0" customWidth="1"/>
    <col min="21" max="21" width="11.7109375" style="0" customWidth="1"/>
    <col min="22" max="22" width="14.7109375" style="0" customWidth="1"/>
    <col min="23" max="23" width="11.7109375" style="0" customWidth="1"/>
    <col min="25" max="25" width="11.140625" style="0" bestFit="1" customWidth="1"/>
    <col min="28" max="28" width="10.7109375" style="0" customWidth="1"/>
    <col min="32" max="32" width="3.7109375" style="0" customWidth="1"/>
    <col min="36" max="36" width="4.7109375" style="0" customWidth="1"/>
    <col min="37" max="37" width="15.7109375" style="0" customWidth="1"/>
    <col min="41" max="41" width="12.7109375" style="0" customWidth="1"/>
    <col min="42" max="43" width="11.7109375" style="0" customWidth="1"/>
    <col min="44" max="44" width="14.7109375" style="0" customWidth="1"/>
    <col min="45" max="45" width="11.7109375" style="0" customWidth="1"/>
    <col min="47" max="47" width="12.7109375" style="0" customWidth="1"/>
    <col min="48" max="49" width="11.7109375" style="0" customWidth="1"/>
    <col min="50" max="50" width="14.7109375" style="0" customWidth="1"/>
    <col min="51" max="51" width="11.7109375" style="0" customWidth="1"/>
    <col min="53" max="55" width="11.7109375" style="0" customWidth="1"/>
    <col min="56" max="56" width="14.7109375" style="0" customWidth="1"/>
    <col min="57" max="57" width="11.7109375" style="0" customWidth="1"/>
    <col min="59" max="61" width="11.7109375" style="0" customWidth="1"/>
    <col min="62" max="62" width="14.7109375" style="0" customWidth="1"/>
    <col min="63" max="63" width="11.7109375" style="0" customWidth="1"/>
    <col min="65" max="65" width="12.7109375" style="0" customWidth="1"/>
    <col min="66" max="67" width="11.7109375" style="0" customWidth="1"/>
    <col min="68" max="68" width="14.7109375" style="0" customWidth="1"/>
    <col min="69" max="69" width="11.7109375" style="0" customWidth="1"/>
    <col min="71" max="71" width="12.7109375" style="0" customWidth="1"/>
    <col min="72" max="73" width="11.7109375" style="0" customWidth="1"/>
    <col min="74" max="74" width="14.7109375" style="0" customWidth="1"/>
    <col min="75" max="75" width="11.7109375" style="0" customWidth="1"/>
  </cols>
  <sheetData>
    <row r="1" spans="10:20" ht="12.75">
      <c r="J1" s="1"/>
      <c r="K1" s="1"/>
      <c r="L1" s="1" t="s">
        <v>68</v>
      </c>
      <c r="M1" s="1"/>
      <c r="N1" s="1"/>
      <c r="O1" s="1"/>
      <c r="P1" s="1"/>
      <c r="Q1" s="1"/>
      <c r="R1" s="1"/>
      <c r="S1" s="1"/>
      <c r="T1" s="1"/>
    </row>
    <row r="2" spans="1:20" ht="12.7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"/>
      <c r="K2" s="1"/>
      <c r="L2" s="1"/>
      <c r="M2" s="1" t="s">
        <v>69</v>
      </c>
      <c r="N2" s="1"/>
      <c r="O2" s="1"/>
      <c r="P2" s="1"/>
      <c r="Q2" s="1"/>
      <c r="R2" s="1"/>
      <c r="S2" s="1"/>
      <c r="T2" s="1"/>
    </row>
    <row r="3" spans="1:9" ht="12.75">
      <c r="A3" s="12" t="s">
        <v>80</v>
      </c>
      <c r="B3" s="12"/>
      <c r="C3" s="12"/>
      <c r="D3" s="12"/>
      <c r="E3" s="12"/>
      <c r="F3" s="12"/>
      <c r="G3" s="12"/>
      <c r="H3" s="12"/>
      <c r="I3" s="12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18" ht="12.75">
      <c r="A6" s="12"/>
      <c r="B6" s="12"/>
      <c r="C6" s="12"/>
      <c r="D6" s="12"/>
      <c r="E6" s="12"/>
      <c r="F6" s="12" t="s">
        <v>2</v>
      </c>
      <c r="G6" s="12"/>
      <c r="H6" s="12" t="s">
        <v>72</v>
      </c>
      <c r="I6" s="12"/>
      <c r="L6" t="s">
        <v>0</v>
      </c>
      <c r="R6" t="s">
        <v>1</v>
      </c>
    </row>
    <row r="7" spans="1:9" ht="12.75">
      <c r="A7" s="12"/>
      <c r="B7" s="12"/>
      <c r="C7" s="12"/>
      <c r="D7" s="13" t="s">
        <v>73</v>
      </c>
      <c r="E7" s="12"/>
      <c r="F7" s="12" t="s">
        <v>7</v>
      </c>
      <c r="G7" s="12"/>
      <c r="H7" s="12" t="s">
        <v>74</v>
      </c>
      <c r="I7" s="12"/>
    </row>
    <row r="8" spans="1:20" ht="12.75">
      <c r="A8" s="12" t="s">
        <v>4</v>
      </c>
      <c r="B8" s="12" t="s">
        <v>75</v>
      </c>
      <c r="C8" s="12"/>
      <c r="D8" s="12" t="s">
        <v>4</v>
      </c>
      <c r="E8" s="12"/>
      <c r="F8" s="12" t="s">
        <v>12</v>
      </c>
      <c r="G8" s="12"/>
      <c r="H8" s="12" t="s">
        <v>76</v>
      </c>
      <c r="I8" s="12"/>
      <c r="M8" t="s">
        <v>2</v>
      </c>
      <c r="N8" t="s">
        <v>3</v>
      </c>
      <c r="S8" t="s">
        <v>2</v>
      </c>
      <c r="T8" t="s">
        <v>3</v>
      </c>
    </row>
    <row r="9" spans="1:20" ht="12.75">
      <c r="A9" s="12" t="s">
        <v>77</v>
      </c>
      <c r="B9" s="12" t="s">
        <v>10</v>
      </c>
      <c r="C9" s="12"/>
      <c r="D9" s="12"/>
      <c r="E9" s="12"/>
      <c r="F9" s="12"/>
      <c r="G9" s="12"/>
      <c r="H9" s="12"/>
      <c r="I9" s="12"/>
      <c r="J9" t="s">
        <v>4</v>
      </c>
      <c r="K9" t="s">
        <v>5</v>
      </c>
      <c r="L9" t="s">
        <v>6</v>
      </c>
      <c r="M9" t="s">
        <v>7</v>
      </c>
      <c r="N9" t="s">
        <v>8</v>
      </c>
      <c r="P9" t="s">
        <v>4</v>
      </c>
      <c r="Q9" t="s">
        <v>5</v>
      </c>
      <c r="R9" t="s">
        <v>6</v>
      </c>
      <c r="S9" t="s">
        <v>7</v>
      </c>
      <c r="T9" t="s">
        <v>8</v>
      </c>
    </row>
    <row r="10" spans="1:20" ht="12.75">
      <c r="A10" s="12" t="s">
        <v>14</v>
      </c>
      <c r="B10" s="14">
        <v>83264</v>
      </c>
      <c r="C10" s="15"/>
      <c r="D10" s="14">
        <v>1195820</v>
      </c>
      <c r="E10" s="15"/>
      <c r="F10" s="14">
        <f>SUM(F12:F30)</f>
        <v>11142038817</v>
      </c>
      <c r="G10" s="15"/>
      <c r="H10" s="2">
        <v>3098</v>
      </c>
      <c r="I10" s="14"/>
      <c r="J10" t="s">
        <v>9</v>
      </c>
      <c r="K10" t="s">
        <v>10</v>
      </c>
      <c r="L10" t="s">
        <v>11</v>
      </c>
      <c r="M10" t="s">
        <v>12</v>
      </c>
      <c r="N10" t="s">
        <v>13</v>
      </c>
      <c r="P10" t="s">
        <v>9</v>
      </c>
      <c r="Q10" t="s">
        <v>10</v>
      </c>
      <c r="R10" t="s">
        <v>11</v>
      </c>
      <c r="S10" t="s">
        <v>12</v>
      </c>
      <c r="T10" t="s">
        <v>13</v>
      </c>
    </row>
    <row r="11" spans="1:9" ht="12.75">
      <c r="A11" s="12"/>
      <c r="B11" s="14"/>
      <c r="C11" s="15"/>
      <c r="D11" s="14"/>
      <c r="E11" s="15"/>
      <c r="F11" s="14"/>
      <c r="G11" s="15"/>
      <c r="H11" s="1"/>
      <c r="I11" s="14"/>
    </row>
    <row r="12" spans="1:9" ht="12.75">
      <c r="A12" s="12" t="s">
        <v>15</v>
      </c>
      <c r="B12" s="14">
        <v>11756</v>
      </c>
      <c r="C12" s="15"/>
      <c r="D12" s="14">
        <v>0</v>
      </c>
      <c r="E12" s="14"/>
      <c r="F12">
        <v>43605119</v>
      </c>
      <c r="G12" s="14"/>
      <c r="H12" s="14">
        <v>3067</v>
      </c>
      <c r="I12" s="14"/>
    </row>
    <row r="13" spans="1:20" ht="12.75">
      <c r="A13" s="12"/>
      <c r="B13" s="14"/>
      <c r="C13" s="15"/>
      <c r="D13" s="14"/>
      <c r="E13" s="15"/>
      <c r="F13" s="14"/>
      <c r="G13" s="15"/>
      <c r="H13" s="12"/>
      <c r="I13" s="14"/>
      <c r="J13" s="1" t="s">
        <v>14</v>
      </c>
      <c r="K13">
        <f>SUM(K15:K24)</f>
        <v>83264</v>
      </c>
      <c r="L13">
        <f>SUM(L15:L24)</f>
        <v>1195820</v>
      </c>
      <c r="M13" s="7">
        <f>SUM(M15:M24)</f>
        <v>11142038817</v>
      </c>
      <c r="N13" s="2">
        <f>9295/3</f>
        <v>3098.3333333333335</v>
      </c>
      <c r="P13" s="1" t="s">
        <v>14</v>
      </c>
      <c r="Q13" s="1">
        <f>SUM(Q15:Q24)</f>
        <v>575</v>
      </c>
      <c r="R13" s="1">
        <f>SUM(R15:R24)</f>
        <v>11433</v>
      </c>
      <c r="S13" s="7">
        <f>SUM(S15:S24)</f>
        <v>210242180</v>
      </c>
      <c r="T13" s="2">
        <f>17900/3</f>
        <v>5966.666666666667</v>
      </c>
    </row>
    <row r="14" spans="1:15" ht="12.75">
      <c r="A14" s="12" t="s">
        <v>16</v>
      </c>
      <c r="B14" s="14">
        <v>36880</v>
      </c>
      <c r="C14" s="15"/>
      <c r="D14" s="14">
        <v>70950</v>
      </c>
      <c r="E14" s="14"/>
      <c r="F14">
        <v>658333717</v>
      </c>
      <c r="G14" s="14"/>
      <c r="H14" s="14">
        <v>3089</v>
      </c>
      <c r="I14" s="14"/>
      <c r="N14" s="1"/>
      <c r="O14" s="1"/>
    </row>
    <row r="15" spans="1:20" ht="12.75">
      <c r="A15" s="12"/>
      <c r="G15" s="14"/>
      <c r="H15" s="14"/>
      <c r="I15" s="14"/>
      <c r="J15" t="s">
        <v>15</v>
      </c>
      <c r="K15">
        <v>11756</v>
      </c>
      <c r="L15">
        <v>0</v>
      </c>
      <c r="M15">
        <v>43605119</v>
      </c>
      <c r="N15">
        <f>9200/3</f>
        <v>3066.6666666666665</v>
      </c>
      <c r="P15" t="s">
        <v>15</v>
      </c>
      <c r="Q15">
        <v>64</v>
      </c>
      <c r="R15">
        <v>0</v>
      </c>
      <c r="S15">
        <v>443657</v>
      </c>
      <c r="T15">
        <f>17986/3</f>
        <v>5995.333333333333</v>
      </c>
    </row>
    <row r="16" spans="1:20" ht="12.75">
      <c r="A16" s="12" t="s">
        <v>17</v>
      </c>
      <c r="B16" s="14">
        <v>13867</v>
      </c>
      <c r="C16" s="15"/>
      <c r="D16" s="14">
        <v>92729</v>
      </c>
      <c r="E16" s="14"/>
      <c r="F16">
        <v>703531849</v>
      </c>
      <c r="G16" s="14"/>
      <c r="H16" s="14">
        <v>2538</v>
      </c>
      <c r="I16" s="14"/>
      <c r="J16" t="s">
        <v>16</v>
      </c>
      <c r="K16">
        <v>36880</v>
      </c>
      <c r="L16">
        <v>70950</v>
      </c>
      <c r="M16">
        <v>658333717</v>
      </c>
      <c r="N16">
        <f>9268/3</f>
        <v>3089.3333333333335</v>
      </c>
      <c r="P16" t="s">
        <v>16</v>
      </c>
      <c r="Q16">
        <v>240</v>
      </c>
      <c r="R16">
        <v>456</v>
      </c>
      <c r="S16">
        <v>6147135</v>
      </c>
      <c r="T16">
        <f>13014/3</f>
        <v>4338</v>
      </c>
    </row>
    <row r="17" spans="1:20" ht="12.75">
      <c r="A17" s="12"/>
      <c r="G17" s="14"/>
      <c r="H17" s="14"/>
      <c r="I17" s="14"/>
      <c r="J17" t="s">
        <v>17</v>
      </c>
      <c r="K17">
        <v>13867</v>
      </c>
      <c r="L17">
        <v>92729</v>
      </c>
      <c r="M17">
        <v>703531849</v>
      </c>
      <c r="N17">
        <f>7615/3</f>
        <v>2538.3333333333335</v>
      </c>
      <c r="P17" t="s">
        <v>17</v>
      </c>
      <c r="Q17">
        <v>79</v>
      </c>
      <c r="R17">
        <v>534</v>
      </c>
      <c r="S17">
        <v>6567845</v>
      </c>
      <c r="T17">
        <f>12110/3</f>
        <v>4036.6666666666665</v>
      </c>
    </row>
    <row r="18" spans="1:20" ht="12.75">
      <c r="A18" s="16" t="s">
        <v>61</v>
      </c>
      <c r="B18" s="14">
        <v>9807</v>
      </c>
      <c r="C18" s="15"/>
      <c r="D18" s="14">
        <v>132899</v>
      </c>
      <c r="E18" s="14"/>
      <c r="F18">
        <v>994113069</v>
      </c>
      <c r="G18" s="14"/>
      <c r="H18" s="14">
        <v>2510</v>
      </c>
      <c r="I18" s="14"/>
      <c r="J18" s="5" t="s">
        <v>61</v>
      </c>
      <c r="K18">
        <v>9807</v>
      </c>
      <c r="L18">
        <v>132899</v>
      </c>
      <c r="M18">
        <v>994113069</v>
      </c>
      <c r="N18">
        <f>7529/3</f>
        <v>2509.6666666666665</v>
      </c>
      <c r="P18" s="5" t="s">
        <v>61</v>
      </c>
      <c r="Q18">
        <v>81</v>
      </c>
      <c r="R18">
        <v>1112</v>
      </c>
      <c r="S18">
        <v>17018371</v>
      </c>
      <c r="T18">
        <f>14756/3</f>
        <v>4918.666666666667</v>
      </c>
    </row>
    <row r="19" spans="1:20" ht="12.75">
      <c r="A19" s="12"/>
      <c r="G19" s="14"/>
      <c r="H19" s="14"/>
      <c r="I19" s="14"/>
      <c r="J19" t="s">
        <v>18</v>
      </c>
      <c r="K19">
        <v>6620</v>
      </c>
      <c r="L19">
        <v>199436</v>
      </c>
      <c r="M19">
        <v>1672454828</v>
      </c>
      <c r="N19">
        <f>8417/3</f>
        <v>2805.6666666666665</v>
      </c>
      <c r="P19" t="s">
        <v>18</v>
      </c>
      <c r="Q19">
        <v>61</v>
      </c>
      <c r="R19">
        <v>1893</v>
      </c>
      <c r="S19">
        <v>31781667</v>
      </c>
      <c r="T19">
        <f>16326/3</f>
        <v>5442</v>
      </c>
    </row>
    <row r="20" spans="1:20" ht="12.75">
      <c r="A20" s="17" t="s">
        <v>18</v>
      </c>
      <c r="B20" s="14">
        <v>6620</v>
      </c>
      <c r="C20" s="15"/>
      <c r="D20" s="14">
        <v>199436</v>
      </c>
      <c r="E20" s="14"/>
      <c r="F20">
        <v>1672454828</v>
      </c>
      <c r="G20" s="14"/>
      <c r="H20" s="14">
        <v>2806</v>
      </c>
      <c r="I20" s="14"/>
      <c r="J20" t="s">
        <v>19</v>
      </c>
      <c r="K20">
        <v>2651</v>
      </c>
      <c r="L20">
        <v>181326</v>
      </c>
      <c r="M20">
        <v>1668943103</v>
      </c>
      <c r="N20">
        <f>9236/3</f>
        <v>3078.6666666666665</v>
      </c>
      <c r="P20" t="s">
        <v>19</v>
      </c>
      <c r="Q20">
        <v>27</v>
      </c>
      <c r="R20">
        <v>1797</v>
      </c>
      <c r="S20">
        <v>36335603</v>
      </c>
      <c r="T20">
        <f>19024/3</f>
        <v>6341.333333333333</v>
      </c>
    </row>
    <row r="21" spans="1:20" ht="12.75">
      <c r="A21" s="12"/>
      <c r="G21" s="14"/>
      <c r="H21" s="14"/>
      <c r="I21" s="14"/>
      <c r="J21" t="s">
        <v>20</v>
      </c>
      <c r="K21">
        <v>1196</v>
      </c>
      <c r="L21">
        <v>177661</v>
      </c>
      <c r="M21">
        <v>1735447308</v>
      </c>
      <c r="N21">
        <f>9761/3</f>
        <v>3253.6666666666665</v>
      </c>
      <c r="P21" t="s">
        <v>20</v>
      </c>
      <c r="Q21">
        <v>13</v>
      </c>
      <c r="R21">
        <v>1863</v>
      </c>
      <c r="S21">
        <v>38123438</v>
      </c>
      <c r="T21">
        <f>20143/3</f>
        <v>6714.333333333333</v>
      </c>
    </row>
    <row r="22" spans="1:20" ht="12.75">
      <c r="A22" s="12" t="s">
        <v>19</v>
      </c>
      <c r="B22" s="14">
        <v>2651</v>
      </c>
      <c r="C22" s="15"/>
      <c r="D22" s="14">
        <v>181326</v>
      </c>
      <c r="E22" s="14"/>
      <c r="F22">
        <v>1668943103</v>
      </c>
      <c r="G22" s="14"/>
      <c r="H22" s="14">
        <v>3079</v>
      </c>
      <c r="I22" s="14"/>
      <c r="J22" t="s">
        <v>21</v>
      </c>
      <c r="K22">
        <v>313</v>
      </c>
      <c r="L22">
        <v>109327</v>
      </c>
      <c r="M22">
        <v>1147329539</v>
      </c>
      <c r="N22">
        <f>10479/3</f>
        <v>3493</v>
      </c>
      <c r="P22" t="s">
        <v>22</v>
      </c>
      <c r="Q22">
        <v>10</v>
      </c>
      <c r="R22">
        <f>2950+828</f>
        <v>3778</v>
      </c>
      <c r="S22">
        <f>55419139+18405325</f>
        <v>73824464</v>
      </c>
      <c r="T22" s="10">
        <f>+S22/8799</f>
        <v>8390.097056483692</v>
      </c>
    </row>
    <row r="23" spans="1:19" ht="12.75">
      <c r="A23" s="12"/>
      <c r="G23" s="14"/>
      <c r="H23" s="14"/>
      <c r="I23" s="14"/>
      <c r="J23" t="s">
        <v>23</v>
      </c>
      <c r="K23">
        <v>116</v>
      </c>
      <c r="L23">
        <v>77872</v>
      </c>
      <c r="M23">
        <v>869673810</v>
      </c>
      <c r="N23">
        <f>11162/3</f>
        <v>3720.6666666666665</v>
      </c>
      <c r="S23" t="s">
        <v>28</v>
      </c>
    </row>
    <row r="24" spans="1:14" ht="12.75">
      <c r="A24" s="12" t="s">
        <v>20</v>
      </c>
      <c r="B24" s="14">
        <v>1196</v>
      </c>
      <c r="C24" s="15"/>
      <c r="D24" s="14">
        <v>177661</v>
      </c>
      <c r="E24" s="14"/>
      <c r="F24">
        <v>1735447308</v>
      </c>
      <c r="G24" s="14"/>
      <c r="H24" s="14">
        <v>3254</v>
      </c>
      <c r="I24" s="14"/>
      <c r="J24" t="s">
        <v>62</v>
      </c>
      <c r="K24">
        <v>58</v>
      </c>
      <c r="L24">
        <v>153620</v>
      </c>
      <c r="M24">
        <v>1648606475</v>
      </c>
      <c r="N24">
        <f>10709/3</f>
        <v>3569.6666666666665</v>
      </c>
    </row>
    <row r="25" spans="1:9" ht="12.75">
      <c r="A25" s="12"/>
      <c r="G25" s="15"/>
      <c r="H25" s="14"/>
      <c r="I25" s="14"/>
    </row>
    <row r="26" spans="1:9" ht="12.75">
      <c r="A26" s="12" t="s">
        <v>21</v>
      </c>
      <c r="B26" s="14">
        <v>313</v>
      </c>
      <c r="C26" s="15"/>
      <c r="D26" s="14">
        <v>109327</v>
      </c>
      <c r="E26" s="14"/>
      <c r="F26">
        <v>1147329539</v>
      </c>
      <c r="G26" s="15"/>
      <c r="H26" s="14">
        <v>3493</v>
      </c>
      <c r="I26" s="14"/>
    </row>
    <row r="27" spans="1:18" ht="12.75">
      <c r="A27" s="12"/>
      <c r="G27" s="15"/>
      <c r="H27" s="14"/>
      <c r="I27" s="14"/>
      <c r="L27" t="s">
        <v>25</v>
      </c>
      <c r="R27" t="s">
        <v>26</v>
      </c>
    </row>
    <row r="28" spans="1:9" ht="12.75">
      <c r="A28" s="12" t="s">
        <v>23</v>
      </c>
      <c r="B28" s="14">
        <v>116</v>
      </c>
      <c r="C28" s="15"/>
      <c r="D28" s="14">
        <v>77872</v>
      </c>
      <c r="E28" s="14"/>
      <c r="F28">
        <v>869673810</v>
      </c>
      <c r="G28" s="15"/>
      <c r="H28" s="14">
        <v>3721</v>
      </c>
      <c r="I28" s="14"/>
    </row>
    <row r="29" spans="1:20" ht="12.75">
      <c r="A29" s="12"/>
      <c r="G29" s="15"/>
      <c r="H29" s="14"/>
      <c r="I29" s="14"/>
      <c r="M29" t="s">
        <v>2</v>
      </c>
      <c r="N29" t="s">
        <v>3</v>
      </c>
      <c r="S29" t="s">
        <v>2</v>
      </c>
      <c r="T29" t="s">
        <v>3</v>
      </c>
    </row>
    <row r="30" spans="1:20" ht="12.75">
      <c r="A30" s="12" t="s">
        <v>24</v>
      </c>
      <c r="B30" s="14">
        <v>58</v>
      </c>
      <c r="C30" s="15"/>
      <c r="D30" s="14">
        <v>153620</v>
      </c>
      <c r="E30" s="14"/>
      <c r="F30">
        <v>1648606475</v>
      </c>
      <c r="G30" s="15"/>
      <c r="H30" s="14">
        <v>3570</v>
      </c>
      <c r="I30" s="14"/>
      <c r="J30" t="s">
        <v>4</v>
      </c>
      <c r="K30" t="s">
        <v>5</v>
      </c>
      <c r="L30" t="s">
        <v>6</v>
      </c>
      <c r="M30" t="s">
        <v>7</v>
      </c>
      <c r="N30" t="s">
        <v>8</v>
      </c>
      <c r="P30" t="s">
        <v>4</v>
      </c>
      <c r="Q30" t="s">
        <v>5</v>
      </c>
      <c r="R30" t="s">
        <v>6</v>
      </c>
      <c r="S30" t="s">
        <v>7</v>
      </c>
      <c r="T30" t="s">
        <v>8</v>
      </c>
    </row>
    <row r="31" spans="1:20" ht="12.75">
      <c r="A31" s="12"/>
      <c r="B31" s="14"/>
      <c r="C31" s="15"/>
      <c r="D31" s="14"/>
      <c r="E31" s="14"/>
      <c r="F31" s="14"/>
      <c r="G31" s="12"/>
      <c r="H31" s="12"/>
      <c r="I31" s="12"/>
      <c r="J31" t="s">
        <v>9</v>
      </c>
      <c r="K31" t="s">
        <v>10</v>
      </c>
      <c r="L31" t="s">
        <v>11</v>
      </c>
      <c r="M31" t="s">
        <v>12</v>
      </c>
      <c r="N31" t="s">
        <v>13</v>
      </c>
      <c r="P31" t="s">
        <v>9</v>
      </c>
      <c r="Q31" t="s">
        <v>10</v>
      </c>
      <c r="R31" t="s">
        <v>11</v>
      </c>
      <c r="S31" t="s">
        <v>12</v>
      </c>
      <c r="T31" t="s">
        <v>13</v>
      </c>
    </row>
    <row r="32" spans="1:9" ht="12.75">
      <c r="A32" s="12"/>
      <c r="B32" s="14"/>
      <c r="C32" s="15"/>
      <c r="D32" s="14"/>
      <c r="E32" s="14"/>
      <c r="F32" s="14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20" ht="12.75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t="s">
        <v>27</v>
      </c>
      <c r="K34">
        <f>SUM(K36:K44)</f>
        <v>187</v>
      </c>
      <c r="L34">
        <f>SUM(L36:L44)</f>
        <v>4137</v>
      </c>
      <c r="M34" s="7">
        <f>SUM(M36:M44)</f>
        <v>75809956</v>
      </c>
      <c r="N34" s="7">
        <f>18450/3</f>
        <v>6150</v>
      </c>
      <c r="P34" s="1" t="s">
        <v>14</v>
      </c>
      <c r="Q34" s="1">
        <f>SUM(Q36:Q44)</f>
        <v>11726</v>
      </c>
      <c r="R34" s="1">
        <f>SUM(R36:R44)</f>
        <v>69007</v>
      </c>
      <c r="S34" s="1">
        <f>SUM(S36:S44)</f>
        <v>665824800</v>
      </c>
      <c r="T34" s="2">
        <f>9495/3</f>
        <v>3165</v>
      </c>
    </row>
    <row r="35" spans="1:15" ht="12.75">
      <c r="A35" s="12" t="s">
        <v>79</v>
      </c>
      <c r="B35" s="12"/>
      <c r="C35" s="12"/>
      <c r="D35" s="12"/>
      <c r="E35" s="12"/>
      <c r="F35" s="12"/>
      <c r="G35" s="12"/>
      <c r="H35" s="12"/>
      <c r="I35" s="12"/>
      <c r="J35" t="s">
        <v>28</v>
      </c>
      <c r="O35" s="1"/>
    </row>
    <row r="36" spans="1:20" ht="12.75">
      <c r="A36" s="12"/>
      <c r="B36" s="12"/>
      <c r="C36" s="12"/>
      <c r="D36" s="12"/>
      <c r="E36" s="12"/>
      <c r="F36" s="12"/>
      <c r="G36" s="12"/>
      <c r="H36" s="12"/>
      <c r="I36" s="12"/>
      <c r="J36" t="s">
        <v>15</v>
      </c>
      <c r="K36">
        <v>9</v>
      </c>
      <c r="L36">
        <v>0</v>
      </c>
      <c r="M36">
        <v>13227</v>
      </c>
      <c r="N36">
        <f>3607/3</f>
        <v>1202.3333333333333</v>
      </c>
      <c r="P36" t="s">
        <v>15</v>
      </c>
      <c r="Q36">
        <v>2993</v>
      </c>
      <c r="R36">
        <v>0</v>
      </c>
      <c r="S36">
        <v>5944881</v>
      </c>
      <c r="T36">
        <f>6915/3</f>
        <v>2305</v>
      </c>
    </row>
    <row r="37" spans="1:20" ht="12.75">
      <c r="A37" s="12"/>
      <c r="B37" s="12"/>
      <c r="C37" s="12"/>
      <c r="D37" s="12"/>
      <c r="E37" s="12"/>
      <c r="F37" s="12"/>
      <c r="G37" s="12"/>
      <c r="H37" s="12"/>
      <c r="I37" s="12"/>
      <c r="J37" t="s">
        <v>16</v>
      </c>
      <c r="K37">
        <v>86</v>
      </c>
      <c r="L37">
        <v>175</v>
      </c>
      <c r="M37">
        <v>1590442</v>
      </c>
      <c r="N37">
        <f>9037/3</f>
        <v>3012.3333333333335</v>
      </c>
      <c r="O37" s="1"/>
      <c r="P37" t="s">
        <v>16</v>
      </c>
      <c r="Q37">
        <v>5528</v>
      </c>
      <c r="R37">
        <v>10982</v>
      </c>
      <c r="S37">
        <v>72683192</v>
      </c>
      <c r="T37">
        <f>6543/3</f>
        <v>2181</v>
      </c>
    </row>
    <row r="38" spans="1:20" ht="12.75">
      <c r="A38" s="12"/>
      <c r="B38" s="12"/>
      <c r="C38" s="12"/>
      <c r="D38" s="12"/>
      <c r="E38" s="12"/>
      <c r="F38" s="12"/>
      <c r="G38" s="12"/>
      <c r="H38" s="12"/>
      <c r="I38" s="12"/>
      <c r="J38" t="s">
        <v>17</v>
      </c>
      <c r="K38">
        <v>29</v>
      </c>
      <c r="L38">
        <v>202</v>
      </c>
      <c r="M38">
        <v>2512526</v>
      </c>
      <c r="N38">
        <f>13132/3</f>
        <v>4377.333333333333</v>
      </c>
      <c r="O38" s="1"/>
      <c r="P38" t="s">
        <v>17</v>
      </c>
      <c r="Q38">
        <v>1634</v>
      </c>
      <c r="R38">
        <v>10635</v>
      </c>
      <c r="S38">
        <v>74416073</v>
      </c>
      <c r="T38">
        <f>6950/3</f>
        <v>2316.6666666666665</v>
      </c>
    </row>
    <row r="39" spans="1:20" ht="12.75">
      <c r="A39" s="18" t="s">
        <v>70</v>
      </c>
      <c r="B39" s="18"/>
      <c r="C39" s="18"/>
      <c r="D39" s="18"/>
      <c r="E39" s="18"/>
      <c r="F39" s="18"/>
      <c r="G39" s="18"/>
      <c r="H39" s="18"/>
      <c r="I39" s="18"/>
      <c r="J39" s="5" t="s">
        <v>61</v>
      </c>
      <c r="K39">
        <v>21</v>
      </c>
      <c r="L39">
        <v>308</v>
      </c>
      <c r="M39">
        <v>5078049</v>
      </c>
      <c r="N39">
        <f>17002/3</f>
        <v>5667.333333333333</v>
      </c>
      <c r="O39" s="1"/>
      <c r="P39" s="5" t="s">
        <v>61</v>
      </c>
      <c r="Q39">
        <v>881</v>
      </c>
      <c r="R39">
        <v>11810</v>
      </c>
      <c r="S39">
        <v>100198206</v>
      </c>
      <c r="T39">
        <f>8415/3</f>
        <v>2805</v>
      </c>
    </row>
    <row r="40" spans="10:20" ht="12.75">
      <c r="J40" t="s">
        <v>18</v>
      </c>
      <c r="K40">
        <v>25</v>
      </c>
      <c r="L40">
        <v>751</v>
      </c>
      <c r="M40">
        <v>16151000</v>
      </c>
      <c r="N40">
        <f>21737/3</f>
        <v>7245.666666666667</v>
      </c>
      <c r="O40" s="1"/>
      <c r="P40" t="s">
        <v>18</v>
      </c>
      <c r="Q40">
        <v>495</v>
      </c>
      <c r="R40">
        <v>14537</v>
      </c>
      <c r="S40">
        <v>148830127</v>
      </c>
      <c r="T40">
        <f>10098/3</f>
        <v>3366</v>
      </c>
    </row>
    <row r="41" spans="10:20" ht="12.75">
      <c r="J41" t="s">
        <v>19</v>
      </c>
      <c r="K41">
        <v>7</v>
      </c>
      <c r="L41">
        <v>491</v>
      </c>
      <c r="M41">
        <v>8919348</v>
      </c>
      <c r="N41">
        <f>18043/3</f>
        <v>6014.333333333333</v>
      </c>
      <c r="O41" s="1"/>
      <c r="P41" t="s">
        <v>19</v>
      </c>
      <c r="Q41">
        <v>131</v>
      </c>
      <c r="R41">
        <v>8937</v>
      </c>
      <c r="S41">
        <v>102888952</v>
      </c>
      <c r="T41">
        <f>11786/3</f>
        <v>3928.6666666666665</v>
      </c>
    </row>
    <row r="42" spans="10:20" ht="12.75">
      <c r="J42" t="s">
        <v>39</v>
      </c>
      <c r="K42">
        <v>10</v>
      </c>
      <c r="L42">
        <f>1291+919</f>
        <v>2210</v>
      </c>
      <c r="M42">
        <f>25526693+16018671</f>
        <v>41545364</v>
      </c>
      <c r="N42" s="10">
        <f>+M42/6615</f>
        <v>6280.478306878307</v>
      </c>
      <c r="O42" s="1"/>
      <c r="P42" t="s">
        <v>20</v>
      </c>
      <c r="Q42">
        <v>54</v>
      </c>
      <c r="R42">
        <v>7802</v>
      </c>
      <c r="S42">
        <v>97298805</v>
      </c>
      <c r="T42">
        <f>12528/3</f>
        <v>4176</v>
      </c>
    </row>
    <row r="43" spans="16:20" ht="12.75">
      <c r="P43" t="s">
        <v>22</v>
      </c>
      <c r="Q43">
        <v>10</v>
      </c>
      <c r="R43">
        <f>3019+1285</f>
        <v>4304</v>
      </c>
      <c r="S43">
        <f>48966837+14597727</f>
        <v>63564564</v>
      </c>
      <c r="T43" s="10">
        <f>+S43/14992</f>
        <v>4239.898879402348</v>
      </c>
    </row>
    <row r="44" spans="17:20" ht="12.75">
      <c r="Q44" t="s">
        <v>28</v>
      </c>
      <c r="R44" t="s">
        <v>28</v>
      </c>
      <c r="S44" t="s">
        <v>28</v>
      </c>
      <c r="T44" t="s">
        <v>28</v>
      </c>
    </row>
    <row r="49" spans="11:18" ht="12.75">
      <c r="K49" t="s">
        <v>29</v>
      </c>
      <c r="R49" t="s">
        <v>30</v>
      </c>
    </row>
    <row r="51" spans="13:20" ht="12.75">
      <c r="M51" t="s">
        <v>2</v>
      </c>
      <c r="N51" t="s">
        <v>3</v>
      </c>
      <c r="S51" t="s">
        <v>2</v>
      </c>
      <c r="T51" t="s">
        <v>3</v>
      </c>
    </row>
    <row r="52" spans="10:20" ht="12.75">
      <c r="J52" t="s">
        <v>4</v>
      </c>
      <c r="K52" t="s">
        <v>5</v>
      </c>
      <c r="L52" t="s">
        <v>6</v>
      </c>
      <c r="M52" t="s">
        <v>7</v>
      </c>
      <c r="N52" t="s">
        <v>8</v>
      </c>
      <c r="P52" t="s">
        <v>4</v>
      </c>
      <c r="Q52" t="s">
        <v>5</v>
      </c>
      <c r="R52" t="s">
        <v>6</v>
      </c>
      <c r="S52" t="s">
        <v>7</v>
      </c>
      <c r="T52" t="s">
        <v>8</v>
      </c>
    </row>
    <row r="53" spans="10:20" ht="12.75">
      <c r="J53" t="s">
        <v>9</v>
      </c>
      <c r="K53" t="s">
        <v>10</v>
      </c>
      <c r="L53" t="s">
        <v>11</v>
      </c>
      <c r="M53" t="s">
        <v>12</v>
      </c>
      <c r="N53" t="s">
        <v>13</v>
      </c>
      <c r="P53" t="s">
        <v>9</v>
      </c>
      <c r="Q53" t="s">
        <v>10</v>
      </c>
      <c r="R53" t="s">
        <v>11</v>
      </c>
      <c r="S53" t="s">
        <v>12</v>
      </c>
      <c r="T53" t="s">
        <v>13</v>
      </c>
    </row>
    <row r="56" spans="10:20" ht="12.75">
      <c r="J56" s="1" t="s">
        <v>14</v>
      </c>
      <c r="K56" s="1">
        <f>SUM(K57:K67)</f>
        <v>3821</v>
      </c>
      <c r="L56" s="1">
        <f>SUM(L57:L67)</f>
        <v>114268</v>
      </c>
      <c r="M56" s="7">
        <f>SUM(M57:M67)</f>
        <v>1352285606</v>
      </c>
      <c r="N56" s="2">
        <f>11672/3</f>
        <v>3890.6666666666665</v>
      </c>
      <c r="O56" s="1"/>
      <c r="P56" t="s">
        <v>27</v>
      </c>
      <c r="Q56">
        <f>SUM(Q57:Q67)</f>
        <v>14940</v>
      </c>
      <c r="R56" s="10">
        <f>SUM(R57:R67)</f>
        <v>186230</v>
      </c>
      <c r="S56" s="7">
        <f>SUM(S57:S67)</f>
        <v>1491204580</v>
      </c>
      <c r="T56" s="7">
        <f>7967/3</f>
        <v>2655.6666666666665</v>
      </c>
    </row>
    <row r="57" ht="12.75">
      <c r="P57" t="s">
        <v>28</v>
      </c>
    </row>
    <row r="58" spans="10:20" ht="12.75">
      <c r="J58" t="s">
        <v>15</v>
      </c>
      <c r="K58">
        <v>297</v>
      </c>
      <c r="L58">
        <v>0</v>
      </c>
      <c r="M58">
        <v>6472766</v>
      </c>
      <c r="N58">
        <f>16331/3</f>
        <v>5443.666666666667</v>
      </c>
      <c r="P58" t="s">
        <v>15</v>
      </c>
      <c r="Q58">
        <v>1450</v>
      </c>
      <c r="R58">
        <f>L79+R79</f>
        <v>0</v>
      </c>
      <c r="S58">
        <v>8024436</v>
      </c>
      <c r="T58">
        <f>9302/3</f>
        <v>3100.6666666666665</v>
      </c>
    </row>
    <row r="59" spans="10:20" ht="12.75">
      <c r="J59" t="s">
        <v>16</v>
      </c>
      <c r="K59">
        <v>1316</v>
      </c>
      <c r="L59">
        <v>2837</v>
      </c>
      <c r="M59">
        <v>23756440</v>
      </c>
      <c r="N59">
        <f>8075/3</f>
        <v>2691.6666666666665</v>
      </c>
      <c r="P59" t="s">
        <v>16</v>
      </c>
      <c r="Q59">
        <v>6155</v>
      </c>
      <c r="R59">
        <v>12372</v>
      </c>
      <c r="S59">
        <v>134888442</v>
      </c>
      <c r="T59">
        <f>10892/3</f>
        <v>3630.6666666666665</v>
      </c>
    </row>
    <row r="60" spans="10:20" ht="12.75">
      <c r="J60" t="s">
        <v>17</v>
      </c>
      <c r="K60">
        <v>680</v>
      </c>
      <c r="L60">
        <v>4597</v>
      </c>
      <c r="M60">
        <v>33765837</v>
      </c>
      <c r="N60">
        <f>7273/3</f>
        <v>2424.3333333333335</v>
      </c>
      <c r="P60" t="s">
        <v>17</v>
      </c>
      <c r="Q60">
        <v>3145</v>
      </c>
      <c r="R60">
        <v>21191</v>
      </c>
      <c r="S60">
        <v>155821299</v>
      </c>
      <c r="T60">
        <f>7344/3</f>
        <v>2448</v>
      </c>
    </row>
    <row r="61" spans="10:20" ht="12.75">
      <c r="J61" s="5" t="s">
        <v>61</v>
      </c>
      <c r="K61">
        <v>597</v>
      </c>
      <c r="L61">
        <v>8229</v>
      </c>
      <c r="M61">
        <v>63710683</v>
      </c>
      <c r="N61">
        <f>7682/3</f>
        <v>2560.6666666666665</v>
      </c>
      <c r="P61" s="5" t="s">
        <v>61</v>
      </c>
      <c r="Q61">
        <v>2311</v>
      </c>
      <c r="R61">
        <v>31025</v>
      </c>
      <c r="S61">
        <v>226855441</v>
      </c>
      <c r="T61">
        <f>7319/3</f>
        <v>2439.6666666666665</v>
      </c>
    </row>
    <row r="62" spans="10:20" ht="12.75">
      <c r="J62" t="s">
        <v>18</v>
      </c>
      <c r="K62">
        <v>513</v>
      </c>
      <c r="L62">
        <v>15727</v>
      </c>
      <c r="M62">
        <v>149278772</v>
      </c>
      <c r="N62">
        <f>9380/3</f>
        <v>3126.6666666666665</v>
      </c>
      <c r="P62" t="s">
        <v>18</v>
      </c>
      <c r="Q62">
        <v>1178</v>
      </c>
      <c r="R62">
        <v>34092</v>
      </c>
      <c r="S62">
        <v>277040567</v>
      </c>
      <c r="T62">
        <f>8099/3</f>
        <v>2699.6666666666665</v>
      </c>
    </row>
    <row r="63" spans="10:20" ht="12.75">
      <c r="J63" t="s">
        <v>19</v>
      </c>
      <c r="K63">
        <v>210</v>
      </c>
      <c r="L63">
        <v>14408</v>
      </c>
      <c r="M63">
        <v>162645817</v>
      </c>
      <c r="N63">
        <f>11268/3</f>
        <v>3756</v>
      </c>
      <c r="P63" t="s">
        <v>19</v>
      </c>
      <c r="Q63">
        <v>392</v>
      </c>
      <c r="R63">
        <v>27698</v>
      </c>
      <c r="S63">
        <v>228754269</v>
      </c>
      <c r="T63">
        <f>8199/3</f>
        <v>2733</v>
      </c>
    </row>
    <row r="64" spans="10:20" ht="12.75">
      <c r="J64" t="s">
        <v>20</v>
      </c>
      <c r="K64">
        <v>129</v>
      </c>
      <c r="L64">
        <v>20484</v>
      </c>
      <c r="M64">
        <v>242726206</v>
      </c>
      <c r="N64">
        <f>11693/3</f>
        <v>3897.6666666666665</v>
      </c>
      <c r="P64" t="s">
        <v>20</v>
      </c>
      <c r="Q64">
        <v>244</v>
      </c>
      <c r="R64">
        <v>34672</v>
      </c>
      <c r="S64">
        <v>252754661</v>
      </c>
      <c r="T64">
        <f>7283/3</f>
        <v>2427.6666666666665</v>
      </c>
    </row>
    <row r="65" spans="10:20" ht="12.75">
      <c r="J65" t="s">
        <v>21</v>
      </c>
      <c r="K65">
        <v>48</v>
      </c>
      <c r="L65">
        <v>16913</v>
      </c>
      <c r="M65">
        <v>219745870</v>
      </c>
      <c r="N65">
        <f>12866/3</f>
        <v>4288.666666666667</v>
      </c>
      <c r="P65" t="s">
        <v>21</v>
      </c>
      <c r="Q65">
        <v>56</v>
      </c>
      <c r="R65">
        <v>19221</v>
      </c>
      <c r="S65">
        <v>145429518</v>
      </c>
      <c r="T65">
        <f>7643/3</f>
        <v>2547.6666666666665</v>
      </c>
    </row>
    <row r="66" spans="10:20" ht="12.75">
      <c r="J66" t="s">
        <v>23</v>
      </c>
      <c r="K66">
        <v>20</v>
      </c>
      <c r="L66">
        <v>12853</v>
      </c>
      <c r="M66">
        <v>177436486</v>
      </c>
      <c r="N66">
        <f>13686/3</f>
        <v>4562</v>
      </c>
      <c r="P66" t="s">
        <v>31</v>
      </c>
      <c r="Q66">
        <v>9</v>
      </c>
      <c r="R66">
        <v>5959</v>
      </c>
      <c r="S66">
        <v>61635947</v>
      </c>
      <c r="T66">
        <f>10518/3</f>
        <v>3506</v>
      </c>
    </row>
    <row r="67" spans="10:16" ht="12.75">
      <c r="J67" t="s">
        <v>24</v>
      </c>
      <c r="K67">
        <v>11</v>
      </c>
      <c r="L67">
        <v>18220</v>
      </c>
      <c r="M67">
        <v>272746729</v>
      </c>
      <c r="N67">
        <f>14798/3</f>
        <v>4932.666666666667</v>
      </c>
      <c r="P67" t="s">
        <v>32</v>
      </c>
    </row>
    <row r="70" spans="11:18" ht="12.75">
      <c r="K70" t="s">
        <v>33</v>
      </c>
      <c r="R70" t="s">
        <v>34</v>
      </c>
    </row>
    <row r="72" spans="13:20" ht="12.75">
      <c r="M72" t="s">
        <v>2</v>
      </c>
      <c r="N72" t="s">
        <v>3</v>
      </c>
      <c r="S72" t="s">
        <v>2</v>
      </c>
      <c r="T72" t="s">
        <v>3</v>
      </c>
    </row>
    <row r="73" spans="10:20" ht="12.75">
      <c r="J73" t="s">
        <v>4</v>
      </c>
      <c r="K73" t="s">
        <v>5</v>
      </c>
      <c r="L73" t="s">
        <v>6</v>
      </c>
      <c r="M73" t="s">
        <v>7</v>
      </c>
      <c r="N73" t="s">
        <v>8</v>
      </c>
      <c r="P73" t="s">
        <v>4</v>
      </c>
      <c r="Q73" t="s">
        <v>5</v>
      </c>
      <c r="R73" t="s">
        <v>6</v>
      </c>
      <c r="S73" t="s">
        <v>7</v>
      </c>
      <c r="T73" t="s">
        <v>8</v>
      </c>
    </row>
    <row r="74" spans="10:20" ht="12.75">
      <c r="J74" t="s">
        <v>9</v>
      </c>
      <c r="K74" t="s">
        <v>10</v>
      </c>
      <c r="L74" t="s">
        <v>11</v>
      </c>
      <c r="M74" t="s">
        <v>12</v>
      </c>
      <c r="N74" t="s">
        <v>13</v>
      </c>
      <c r="P74" t="s">
        <v>9</v>
      </c>
      <c r="Q74" t="s">
        <v>10</v>
      </c>
      <c r="R74" t="s">
        <v>11</v>
      </c>
      <c r="S74" t="s">
        <v>12</v>
      </c>
      <c r="T74" t="s">
        <v>13</v>
      </c>
    </row>
    <row r="76" ht="12.75">
      <c r="O76" s="1"/>
    </row>
    <row r="77" spans="10:20" ht="12.75">
      <c r="J77" s="1" t="s">
        <v>27</v>
      </c>
      <c r="K77" s="1">
        <f>SUM(K79:K87)</f>
        <v>5925</v>
      </c>
      <c r="L77" s="1">
        <f>SUM(L79:L87)</f>
        <v>45991</v>
      </c>
      <c r="M77" s="7">
        <f>SUM(M79:M86)</f>
        <v>619867224</v>
      </c>
      <c r="N77" s="2">
        <f>13374/3</f>
        <v>4458</v>
      </c>
      <c r="P77" t="s">
        <v>27</v>
      </c>
      <c r="Q77">
        <f>SUM(Q79:Q87)</f>
        <v>9015</v>
      </c>
      <c r="R77">
        <f>SUM(R79:R87)</f>
        <v>140239</v>
      </c>
      <c r="S77" s="7">
        <f>SUM(S79:S87)</f>
        <v>871337356</v>
      </c>
      <c r="T77" s="7">
        <f>6188/3</f>
        <v>2062.6666666666665</v>
      </c>
    </row>
    <row r="78" spans="10:16" ht="12.75">
      <c r="J78" t="s">
        <v>28</v>
      </c>
      <c r="P78" t="s">
        <v>28</v>
      </c>
    </row>
    <row r="79" spans="10:20" ht="12.75">
      <c r="J79" t="s">
        <v>15</v>
      </c>
      <c r="K79">
        <v>692</v>
      </c>
      <c r="L79">
        <v>0</v>
      </c>
      <c r="M79">
        <v>2612245</v>
      </c>
      <c r="N79">
        <f>20408/3</f>
        <v>6802.666666666667</v>
      </c>
      <c r="P79" t="s">
        <v>15</v>
      </c>
      <c r="Q79">
        <v>758</v>
      </c>
      <c r="R79">
        <v>0</v>
      </c>
      <c r="S79">
        <v>5412191</v>
      </c>
      <c r="T79">
        <f>7367/3</f>
        <v>2455.6666666666665</v>
      </c>
    </row>
    <row r="80" spans="10:20" ht="12.75">
      <c r="J80" t="s">
        <v>16</v>
      </c>
      <c r="K80">
        <v>3305</v>
      </c>
      <c r="L80">
        <v>5699</v>
      </c>
      <c r="M80">
        <v>93474226</v>
      </c>
      <c r="N80">
        <f>16433/3</f>
        <v>5477.666666666667</v>
      </c>
      <c r="P80" t="s">
        <v>16</v>
      </c>
      <c r="Q80">
        <v>2850</v>
      </c>
      <c r="R80">
        <v>6673</v>
      </c>
      <c r="S80">
        <v>41414216</v>
      </c>
      <c r="T80">
        <f>6185/3</f>
        <v>2061.6666666666665</v>
      </c>
    </row>
    <row r="81" spans="10:20" ht="12.75">
      <c r="J81" t="s">
        <v>17</v>
      </c>
      <c r="K81">
        <v>867</v>
      </c>
      <c r="L81">
        <v>5842</v>
      </c>
      <c r="M81">
        <v>75963261</v>
      </c>
      <c r="N81">
        <f>13021/3</f>
        <v>4340.333333333333</v>
      </c>
      <c r="P81" t="s">
        <v>17</v>
      </c>
      <c r="Q81">
        <v>2278</v>
      </c>
      <c r="R81">
        <v>15349</v>
      </c>
      <c r="S81">
        <v>79858038</v>
      </c>
      <c r="T81">
        <f>5192/3</f>
        <v>1730.6666666666667</v>
      </c>
    </row>
    <row r="82" spans="10:20" ht="12.75">
      <c r="J82" s="5" t="s">
        <v>61</v>
      </c>
      <c r="K82">
        <v>558</v>
      </c>
      <c r="L82">
        <v>7469</v>
      </c>
      <c r="M82" s="1">
        <v>98295013</v>
      </c>
      <c r="N82">
        <f>13135/3</f>
        <v>4378.333333333333</v>
      </c>
      <c r="P82" s="5" t="s">
        <v>61</v>
      </c>
      <c r="Q82">
        <v>1753</v>
      </c>
      <c r="R82">
        <v>23556</v>
      </c>
      <c r="S82">
        <v>128560428</v>
      </c>
      <c r="T82">
        <f>5468/3</f>
        <v>1822.6666666666667</v>
      </c>
    </row>
    <row r="83" spans="10:20" ht="12.75">
      <c r="J83" s="1" t="s">
        <v>18</v>
      </c>
      <c r="K83">
        <v>364</v>
      </c>
      <c r="L83" s="1">
        <v>10832</v>
      </c>
      <c r="M83" s="1">
        <v>140159209</v>
      </c>
      <c r="N83" s="1">
        <f>12858/3</f>
        <v>4286</v>
      </c>
      <c r="P83" t="s">
        <v>18</v>
      </c>
      <c r="Q83">
        <v>814</v>
      </c>
      <c r="R83">
        <v>23260</v>
      </c>
      <c r="S83">
        <v>136881358</v>
      </c>
      <c r="T83">
        <f>5873/3</f>
        <v>1957.6666666666667</v>
      </c>
    </row>
    <row r="84" spans="10:20" ht="12.75">
      <c r="J84" s="1" t="s">
        <v>19</v>
      </c>
      <c r="K84">
        <v>88</v>
      </c>
      <c r="L84" s="1">
        <v>5977</v>
      </c>
      <c r="M84" s="1">
        <v>83815003</v>
      </c>
      <c r="N84" s="1">
        <f>13865/3</f>
        <v>4621.666666666667</v>
      </c>
      <c r="P84" t="s">
        <v>19</v>
      </c>
      <c r="Q84">
        <v>304</v>
      </c>
      <c r="R84">
        <v>21721</v>
      </c>
      <c r="S84">
        <v>144939266</v>
      </c>
      <c r="T84">
        <f>6632/3</f>
        <v>2210.6666666666665</v>
      </c>
    </row>
    <row r="85" spans="10:20" ht="12.75">
      <c r="J85" s="1" t="s">
        <v>20</v>
      </c>
      <c r="K85">
        <v>41</v>
      </c>
      <c r="L85" s="1">
        <v>6083</v>
      </c>
      <c r="M85" s="1">
        <v>70220737</v>
      </c>
      <c r="N85" s="1">
        <f>11412/3</f>
        <v>3804</v>
      </c>
      <c r="P85" t="s">
        <v>20</v>
      </c>
      <c r="Q85">
        <v>203</v>
      </c>
      <c r="R85">
        <v>28589</v>
      </c>
      <c r="S85">
        <v>182533924</v>
      </c>
      <c r="T85">
        <f>6393/3</f>
        <v>2131</v>
      </c>
    </row>
    <row r="86" spans="10:20" ht="12.75">
      <c r="J86" s="1" t="s">
        <v>22</v>
      </c>
      <c r="K86">
        <v>10</v>
      </c>
      <c r="L86" s="1">
        <f>3268+821</f>
        <v>4089</v>
      </c>
      <c r="M86">
        <f>48299069+7028461</f>
        <v>55327530</v>
      </c>
      <c r="N86" s="10">
        <f>+M86/14700</f>
        <v>3763.7775510204083</v>
      </c>
      <c r="P86" t="s">
        <v>21</v>
      </c>
      <c r="Q86">
        <v>47</v>
      </c>
      <c r="R86">
        <v>15953</v>
      </c>
      <c r="S86">
        <v>97130449</v>
      </c>
      <c r="T86">
        <f>6173/3</f>
        <v>2057.6666666666665</v>
      </c>
    </row>
    <row r="87" spans="12:20" ht="12.75">
      <c r="L87" s="1"/>
      <c r="P87" t="s">
        <v>31</v>
      </c>
      <c r="Q87">
        <v>8</v>
      </c>
      <c r="R87">
        <v>5138</v>
      </c>
      <c r="S87">
        <v>54607486</v>
      </c>
      <c r="T87">
        <f>10839/3</f>
        <v>3613</v>
      </c>
    </row>
    <row r="90" ht="12.75">
      <c r="L90" t="s">
        <v>67</v>
      </c>
    </row>
    <row r="91" spans="13:17" ht="12.75">
      <c r="M91" s="19" t="s">
        <v>69</v>
      </c>
      <c r="N91" s="18"/>
      <c r="O91" s="18"/>
      <c r="P91" s="18"/>
      <c r="Q91" s="18"/>
    </row>
    <row r="95" spans="10:16" ht="12.75">
      <c r="J95" t="s">
        <v>35</v>
      </c>
      <c r="P95" t="s">
        <v>36</v>
      </c>
    </row>
    <row r="97" spans="13:20" ht="12.75">
      <c r="M97" t="s">
        <v>2</v>
      </c>
      <c r="N97" t="s">
        <v>3</v>
      </c>
      <c r="S97" t="s">
        <v>2</v>
      </c>
      <c r="T97" t="s">
        <v>3</v>
      </c>
    </row>
    <row r="98" spans="10:20" ht="12.75">
      <c r="J98" t="s">
        <v>4</v>
      </c>
      <c r="K98" t="s">
        <v>5</v>
      </c>
      <c r="L98" t="s">
        <v>6</v>
      </c>
      <c r="M98" t="s">
        <v>7</v>
      </c>
      <c r="N98" t="s">
        <v>8</v>
      </c>
      <c r="P98" t="s">
        <v>4</v>
      </c>
      <c r="Q98" t="s">
        <v>5</v>
      </c>
      <c r="R98" t="s">
        <v>6</v>
      </c>
      <c r="S98" t="s">
        <v>7</v>
      </c>
      <c r="T98" t="s">
        <v>8</v>
      </c>
    </row>
    <row r="99" spans="10:20" ht="12.75">
      <c r="J99" t="s">
        <v>9</v>
      </c>
      <c r="K99" t="s">
        <v>10</v>
      </c>
      <c r="L99" t="s">
        <v>11</v>
      </c>
      <c r="M99" t="s">
        <v>12</v>
      </c>
      <c r="N99" t="s">
        <v>13</v>
      </c>
      <c r="P99" t="s">
        <v>9</v>
      </c>
      <c r="Q99" t="s">
        <v>10</v>
      </c>
      <c r="R99" t="s">
        <v>11</v>
      </c>
      <c r="S99" t="s">
        <v>12</v>
      </c>
      <c r="T99" t="s">
        <v>13</v>
      </c>
    </row>
    <row r="102" spans="10:20" ht="12.75">
      <c r="J102" s="1" t="s">
        <v>27</v>
      </c>
      <c r="K102" s="1">
        <f>SUM(K104:K113)</f>
        <v>2364</v>
      </c>
      <c r="L102" s="1">
        <f>SUM(L104:L113)</f>
        <v>44809</v>
      </c>
      <c r="M102" s="7">
        <f>SUM(M104:M113)</f>
        <v>430879290</v>
      </c>
      <c r="N102" s="2">
        <f>9506/3</f>
        <v>3168.6666666666665</v>
      </c>
      <c r="P102" t="s">
        <v>27</v>
      </c>
      <c r="Q102">
        <f>SUM(Q104:Q113)</f>
        <v>1671</v>
      </c>
      <c r="R102">
        <f>SUM(R104:R113)</f>
        <v>29913</v>
      </c>
      <c r="S102" s="7">
        <f>SUM(S104:S113)</f>
        <v>358250639</v>
      </c>
      <c r="T102" s="7">
        <f>11960/3</f>
        <v>3986.6666666666665</v>
      </c>
    </row>
    <row r="103" spans="10:16" ht="12.75">
      <c r="J103" t="s">
        <v>28</v>
      </c>
      <c r="P103" t="s">
        <v>28</v>
      </c>
    </row>
    <row r="104" spans="10:20" ht="12.75">
      <c r="J104" t="s">
        <v>15</v>
      </c>
      <c r="K104">
        <v>377</v>
      </c>
      <c r="L104">
        <v>0</v>
      </c>
      <c r="M104">
        <v>2643342</v>
      </c>
      <c r="N104">
        <f>16020/3</f>
        <v>5340</v>
      </c>
      <c r="P104" t="s">
        <v>15</v>
      </c>
      <c r="Q104">
        <v>208</v>
      </c>
      <c r="R104">
        <v>0</v>
      </c>
      <c r="S104">
        <v>1297960</v>
      </c>
      <c r="T104">
        <f>13474/3</f>
        <v>4491.333333333333</v>
      </c>
    </row>
    <row r="105" spans="10:20" ht="12.75">
      <c r="J105" t="s">
        <v>16</v>
      </c>
      <c r="K105">
        <v>1119</v>
      </c>
      <c r="L105">
        <v>2106</v>
      </c>
      <c r="M105">
        <v>16963331</v>
      </c>
      <c r="N105">
        <f>7878/3</f>
        <v>2626</v>
      </c>
      <c r="P105" t="s">
        <v>16</v>
      </c>
      <c r="Q105">
        <v>762</v>
      </c>
      <c r="R105">
        <v>1380</v>
      </c>
      <c r="S105">
        <v>17983008</v>
      </c>
      <c r="T105">
        <f>12724/3</f>
        <v>4241.333333333333</v>
      </c>
    </row>
    <row r="106" spans="10:20" ht="12.75">
      <c r="J106" t="s">
        <v>17</v>
      </c>
      <c r="K106">
        <v>326</v>
      </c>
      <c r="L106">
        <v>2165</v>
      </c>
      <c r="M106">
        <v>17499515</v>
      </c>
      <c r="N106">
        <f>8159/3</f>
        <v>2719.6666666666665</v>
      </c>
      <c r="P106" t="s">
        <v>17</v>
      </c>
      <c r="Q106">
        <v>237</v>
      </c>
      <c r="R106">
        <v>1577</v>
      </c>
      <c r="S106">
        <v>18347069</v>
      </c>
      <c r="T106">
        <f>11701/3</f>
        <v>3900.3333333333335</v>
      </c>
    </row>
    <row r="107" spans="10:20" ht="12.75">
      <c r="J107" s="5" t="s">
        <v>61</v>
      </c>
      <c r="K107">
        <v>227</v>
      </c>
      <c r="L107">
        <v>3096</v>
      </c>
      <c r="M107">
        <v>28812406</v>
      </c>
      <c r="N107">
        <f>9266/3</f>
        <v>3088.6666666666665</v>
      </c>
      <c r="P107" s="5" t="s">
        <v>61</v>
      </c>
      <c r="Q107">
        <v>176</v>
      </c>
      <c r="R107">
        <v>2411</v>
      </c>
      <c r="S107">
        <v>26389829</v>
      </c>
      <c r="T107">
        <f>10929/3</f>
        <v>3643</v>
      </c>
    </row>
    <row r="108" spans="10:20" ht="12.75">
      <c r="J108" t="s">
        <v>18</v>
      </c>
      <c r="K108">
        <v>163</v>
      </c>
      <c r="L108">
        <v>4973</v>
      </c>
      <c r="M108">
        <v>46027026</v>
      </c>
      <c r="N108">
        <f>9182/3</f>
        <v>3060.6666666666665</v>
      </c>
      <c r="P108" t="s">
        <v>18</v>
      </c>
      <c r="Q108">
        <v>167</v>
      </c>
      <c r="R108">
        <v>4995</v>
      </c>
      <c r="S108">
        <v>59087844</v>
      </c>
      <c r="T108">
        <f>12032/3</f>
        <v>4010.6666666666665</v>
      </c>
    </row>
    <row r="109" spans="10:20" ht="12.75">
      <c r="J109" t="s">
        <v>19</v>
      </c>
      <c r="K109">
        <v>85</v>
      </c>
      <c r="L109">
        <v>6041</v>
      </c>
      <c r="M109">
        <v>55470888</v>
      </c>
      <c r="N109">
        <f>9154/3</f>
        <v>3051.3333333333335</v>
      </c>
      <c r="P109" t="s">
        <v>19</v>
      </c>
      <c r="Q109">
        <v>60</v>
      </c>
      <c r="R109">
        <v>4097</v>
      </c>
      <c r="S109">
        <v>51844581</v>
      </c>
      <c r="T109">
        <f>12496/3</f>
        <v>4165.333333333333</v>
      </c>
    </row>
    <row r="110" spans="10:20" ht="12.75">
      <c r="J110" t="s">
        <v>20</v>
      </c>
      <c r="K110">
        <v>41</v>
      </c>
      <c r="L110">
        <v>6370</v>
      </c>
      <c r="M110">
        <v>62263017</v>
      </c>
      <c r="N110">
        <f>9788/3</f>
        <v>3262.6666666666665</v>
      </c>
      <c r="P110" t="s">
        <v>20</v>
      </c>
      <c r="Q110">
        <v>45</v>
      </c>
      <c r="R110">
        <v>6826</v>
      </c>
      <c r="S110">
        <v>67180818</v>
      </c>
      <c r="T110">
        <f>9892/3</f>
        <v>3297.3333333333335</v>
      </c>
    </row>
    <row r="111" spans="10:20" ht="12.75">
      <c r="J111" t="s">
        <v>21</v>
      </c>
      <c r="K111">
        <v>14</v>
      </c>
      <c r="L111">
        <v>5038</v>
      </c>
      <c r="M111">
        <v>44909761</v>
      </c>
      <c r="N111">
        <f>8815/3</f>
        <v>2938.3333333333335</v>
      </c>
      <c r="P111" t="s">
        <v>21</v>
      </c>
      <c r="Q111">
        <v>8</v>
      </c>
      <c r="R111">
        <v>2737</v>
      </c>
      <c r="S111">
        <v>26126406</v>
      </c>
      <c r="T111">
        <f>9520/3</f>
        <v>3173.3333333333335</v>
      </c>
    </row>
    <row r="112" spans="10:20" ht="12.75">
      <c r="J112" t="s">
        <v>23</v>
      </c>
      <c r="K112">
        <v>7</v>
      </c>
      <c r="L112">
        <v>5046</v>
      </c>
      <c r="M112">
        <v>53049452</v>
      </c>
      <c r="N112">
        <f>10490/3</f>
        <v>3496.6666666666665</v>
      </c>
      <c r="P112" t="s">
        <v>31</v>
      </c>
      <c r="Q112">
        <v>8</v>
      </c>
      <c r="R112">
        <f>3768+2122</f>
        <v>5890</v>
      </c>
      <c r="S112">
        <f>59067665+30925459</f>
        <v>89993124</v>
      </c>
      <c r="T112" s="10">
        <f>+S112/15778</f>
        <v>5703.709215363164</v>
      </c>
    </row>
    <row r="113" spans="10:14" ht="12.75">
      <c r="J113" t="s">
        <v>24</v>
      </c>
      <c r="K113">
        <v>5</v>
      </c>
      <c r="L113">
        <v>9974</v>
      </c>
      <c r="M113">
        <v>103240552</v>
      </c>
      <c r="N113">
        <f>10153/3</f>
        <v>3384.3333333333335</v>
      </c>
    </row>
    <row r="116" spans="11:17" ht="12.75">
      <c r="K116" t="s">
        <v>37</v>
      </c>
      <c r="Q116" t="s">
        <v>38</v>
      </c>
    </row>
    <row r="118" spans="13:20" ht="12.75">
      <c r="M118" t="s">
        <v>2</v>
      </c>
      <c r="N118" t="s">
        <v>3</v>
      </c>
      <c r="S118" t="s">
        <v>2</v>
      </c>
      <c r="T118" t="s">
        <v>3</v>
      </c>
    </row>
    <row r="119" spans="10:20" ht="12.75">
      <c r="J119" t="s">
        <v>4</v>
      </c>
      <c r="K119" t="s">
        <v>5</v>
      </c>
      <c r="L119" t="s">
        <v>6</v>
      </c>
      <c r="M119" t="s">
        <v>7</v>
      </c>
      <c r="N119" t="s">
        <v>8</v>
      </c>
      <c r="P119" t="s">
        <v>4</v>
      </c>
      <c r="Q119" t="s">
        <v>5</v>
      </c>
      <c r="R119" t="s">
        <v>6</v>
      </c>
      <c r="S119" t="s">
        <v>7</v>
      </c>
      <c r="T119" t="s">
        <v>8</v>
      </c>
    </row>
    <row r="120" spans="10:20" ht="12.75">
      <c r="J120" t="s">
        <v>9</v>
      </c>
      <c r="K120" t="s">
        <v>10</v>
      </c>
      <c r="L120" t="s">
        <v>11</v>
      </c>
      <c r="M120" t="s">
        <v>12</v>
      </c>
      <c r="N120" t="s">
        <v>13</v>
      </c>
      <c r="P120" t="s">
        <v>9</v>
      </c>
      <c r="Q120" t="s">
        <v>10</v>
      </c>
      <c r="R120" t="s">
        <v>11</v>
      </c>
      <c r="S120" t="s">
        <v>12</v>
      </c>
      <c r="T120" t="s">
        <v>13</v>
      </c>
    </row>
    <row r="123" spans="10:20" ht="12.75">
      <c r="J123" t="s">
        <v>27</v>
      </c>
      <c r="K123">
        <f>SUM(K125:K134)</f>
        <v>5514</v>
      </c>
      <c r="L123">
        <f>SUM(L125:L134)</f>
        <v>55472</v>
      </c>
      <c r="M123" s="7">
        <f>SUM(M125:M134)</f>
        <v>739213937</v>
      </c>
      <c r="N123" s="7">
        <f>13322/3</f>
        <v>4440.666666666667</v>
      </c>
      <c r="P123" t="s">
        <v>27</v>
      </c>
      <c r="Q123">
        <f>SUM(Q125:Q131)</f>
        <v>4681</v>
      </c>
      <c r="R123">
        <f>SUM(R125:R131)</f>
        <v>16854</v>
      </c>
      <c r="S123" s="7">
        <f>SUM(S125:S131)</f>
        <v>144945414</v>
      </c>
      <c r="T123" s="7">
        <f>8534/3</f>
        <v>2844.6666666666665</v>
      </c>
    </row>
    <row r="124" spans="10:16" ht="12.75">
      <c r="J124" t="s">
        <v>28</v>
      </c>
      <c r="P124" t="s">
        <v>28</v>
      </c>
    </row>
    <row r="125" spans="10:20" ht="12.75">
      <c r="J125" t="s">
        <v>15</v>
      </c>
      <c r="K125">
        <v>660</v>
      </c>
      <c r="L125">
        <v>0</v>
      </c>
      <c r="M125">
        <v>2179988</v>
      </c>
      <c r="N125">
        <f>15990/3</f>
        <v>5330</v>
      </c>
      <c r="P125" t="s">
        <v>15</v>
      </c>
      <c r="Q125">
        <v>1109</v>
      </c>
      <c r="R125">
        <v>0</v>
      </c>
      <c r="S125">
        <v>1638351</v>
      </c>
      <c r="T125">
        <f>9470/3</f>
        <v>3156.6666666666665</v>
      </c>
    </row>
    <row r="126" spans="10:20" ht="12.75">
      <c r="J126" t="s">
        <v>16</v>
      </c>
      <c r="K126">
        <v>2913</v>
      </c>
      <c r="L126">
        <v>5626</v>
      </c>
      <c r="M126">
        <v>65080205</v>
      </c>
      <c r="N126">
        <f>11650/3</f>
        <v>3883.3333333333335</v>
      </c>
      <c r="P126" t="s">
        <v>16</v>
      </c>
      <c r="Q126">
        <v>2736</v>
      </c>
      <c r="R126">
        <v>4619</v>
      </c>
      <c r="S126">
        <v>34180496</v>
      </c>
      <c r="T126">
        <f>7437/3</f>
        <v>2479</v>
      </c>
    </row>
    <row r="127" spans="10:20" ht="12.75">
      <c r="J127" t="s">
        <v>17</v>
      </c>
      <c r="K127">
        <v>999</v>
      </c>
      <c r="L127">
        <v>6662</v>
      </c>
      <c r="M127">
        <v>71920376</v>
      </c>
      <c r="N127">
        <f>10833/3</f>
        <v>3611</v>
      </c>
      <c r="P127" t="s">
        <v>17</v>
      </c>
      <c r="Q127">
        <v>490</v>
      </c>
      <c r="R127">
        <v>3237</v>
      </c>
      <c r="S127">
        <v>26578429</v>
      </c>
      <c r="T127">
        <f>8208/3</f>
        <v>2736</v>
      </c>
    </row>
    <row r="128" spans="10:20" ht="12.75">
      <c r="J128" s="5" t="s">
        <v>61</v>
      </c>
      <c r="K128">
        <v>551</v>
      </c>
      <c r="L128">
        <v>7270</v>
      </c>
      <c r="M128">
        <v>79541872</v>
      </c>
      <c r="N128">
        <f>11012/3</f>
        <v>3670.6666666666665</v>
      </c>
      <c r="P128" s="5" t="s">
        <v>61</v>
      </c>
      <c r="Q128">
        <v>226</v>
      </c>
      <c r="R128">
        <v>2946</v>
      </c>
      <c r="S128">
        <v>24067390</v>
      </c>
      <c r="T128">
        <f>8135/3</f>
        <v>2711.6666666666665</v>
      </c>
    </row>
    <row r="129" spans="10:20" ht="12.75">
      <c r="J129" t="s">
        <v>18</v>
      </c>
      <c r="K129">
        <v>253</v>
      </c>
      <c r="L129">
        <v>7492</v>
      </c>
      <c r="M129">
        <v>118856314</v>
      </c>
      <c r="N129">
        <f>15979/3</f>
        <v>5326.333333333333</v>
      </c>
      <c r="P129" t="s">
        <v>18</v>
      </c>
      <c r="Q129">
        <v>81</v>
      </c>
      <c r="R129">
        <v>2488</v>
      </c>
      <c r="S129">
        <v>24088800</v>
      </c>
      <c r="T129">
        <f>9686/3</f>
        <v>3228.6666666666665</v>
      </c>
    </row>
    <row r="130" spans="10:20" ht="12.75">
      <c r="J130" t="s">
        <v>19</v>
      </c>
      <c r="K130">
        <v>74</v>
      </c>
      <c r="L130">
        <v>5126</v>
      </c>
      <c r="M130">
        <v>88660722</v>
      </c>
      <c r="N130">
        <f>17470/3</f>
        <v>5823.333333333333</v>
      </c>
      <c r="P130" t="s">
        <v>19</v>
      </c>
      <c r="Q130">
        <v>32</v>
      </c>
      <c r="R130">
        <v>2208</v>
      </c>
      <c r="S130">
        <v>20287686</v>
      </c>
      <c r="T130">
        <f>9400/3</f>
        <v>3133.3333333333335</v>
      </c>
    </row>
    <row r="131" spans="10:20" ht="12.75">
      <c r="J131" t="s">
        <v>20</v>
      </c>
      <c r="K131">
        <v>38</v>
      </c>
      <c r="L131">
        <v>5847</v>
      </c>
      <c r="M131">
        <v>75424781</v>
      </c>
      <c r="N131">
        <f>12784/3</f>
        <v>4261.333333333333</v>
      </c>
      <c r="P131" t="s">
        <v>39</v>
      </c>
      <c r="Q131">
        <v>7</v>
      </c>
      <c r="R131">
        <f>855+501</f>
        <v>1356</v>
      </c>
      <c r="S131">
        <f>10421026+3683236</f>
        <v>14104262</v>
      </c>
      <c r="T131" s="10">
        <f>+S131/4816</f>
        <v>2928.625830564784</v>
      </c>
    </row>
    <row r="132" spans="10:14" ht="12.75">
      <c r="J132" t="s">
        <v>21</v>
      </c>
      <c r="K132">
        <v>12</v>
      </c>
      <c r="L132">
        <v>3662</v>
      </c>
      <c r="M132">
        <v>51827901</v>
      </c>
      <c r="N132">
        <f>14113/3</f>
        <v>4704.333333333333</v>
      </c>
    </row>
    <row r="133" spans="10:14" ht="12.75">
      <c r="J133" t="s">
        <v>23</v>
      </c>
      <c r="K133">
        <v>11</v>
      </c>
      <c r="L133">
        <v>8116</v>
      </c>
      <c r="M133">
        <v>128166266</v>
      </c>
      <c r="N133">
        <f>15774/3</f>
        <v>5258</v>
      </c>
    </row>
    <row r="134" spans="10:14" ht="12.75">
      <c r="J134" t="s">
        <v>24</v>
      </c>
      <c r="K134">
        <v>3</v>
      </c>
      <c r="L134">
        <v>5671</v>
      </c>
      <c r="M134">
        <v>57555512</v>
      </c>
      <c r="N134">
        <f>10113/3</f>
        <v>3371</v>
      </c>
    </row>
    <row r="140" ht="12.75">
      <c r="L140" t="s">
        <v>67</v>
      </c>
    </row>
    <row r="141" spans="13:17" ht="12.75">
      <c r="M141" s="19" t="s">
        <v>69</v>
      </c>
      <c r="N141" s="18"/>
      <c r="O141" s="18"/>
      <c r="P141" s="18"/>
      <c r="Q141" s="18"/>
    </row>
    <row r="145" spans="11:17" ht="12.75">
      <c r="K145" t="s">
        <v>40</v>
      </c>
      <c r="Q145" t="s">
        <v>41</v>
      </c>
    </row>
    <row r="147" spans="13:20" ht="12.75">
      <c r="M147" t="s">
        <v>2</v>
      </c>
      <c r="N147" t="s">
        <v>3</v>
      </c>
      <c r="S147" t="s">
        <v>2</v>
      </c>
      <c r="T147" t="s">
        <v>3</v>
      </c>
    </row>
    <row r="148" spans="10:20" ht="12.75">
      <c r="J148" t="s">
        <v>4</v>
      </c>
      <c r="K148" t="s">
        <v>5</v>
      </c>
      <c r="L148" t="s">
        <v>6</v>
      </c>
      <c r="M148" t="s">
        <v>7</v>
      </c>
      <c r="N148" t="s">
        <v>8</v>
      </c>
      <c r="P148" t="s">
        <v>4</v>
      </c>
      <c r="Q148" t="s">
        <v>5</v>
      </c>
      <c r="R148" t="s">
        <v>6</v>
      </c>
      <c r="S148" t="s">
        <v>7</v>
      </c>
      <c r="T148" t="s">
        <v>8</v>
      </c>
    </row>
    <row r="149" spans="10:20" ht="12.75">
      <c r="J149" t="s">
        <v>9</v>
      </c>
      <c r="K149" t="s">
        <v>10</v>
      </c>
      <c r="L149" t="s">
        <v>11</v>
      </c>
      <c r="M149" t="s">
        <v>12</v>
      </c>
      <c r="N149" t="s">
        <v>13</v>
      </c>
      <c r="P149" t="s">
        <v>9</v>
      </c>
      <c r="Q149" t="s">
        <v>10</v>
      </c>
      <c r="R149" t="s">
        <v>11</v>
      </c>
      <c r="S149" t="s">
        <v>12</v>
      </c>
      <c r="T149" t="s">
        <v>13</v>
      </c>
    </row>
    <row r="152" spans="10:20" ht="12.75">
      <c r="J152" t="s">
        <v>27</v>
      </c>
      <c r="K152">
        <f>SUM(K154:K162)</f>
        <v>10513</v>
      </c>
      <c r="L152">
        <f>SUM(L154:L162)</f>
        <v>66664</v>
      </c>
      <c r="M152">
        <f>SUM(M154:M162)</f>
        <v>941585567</v>
      </c>
      <c r="N152" s="7">
        <f>14069/3</f>
        <v>4689.666666666667</v>
      </c>
      <c r="P152" t="s">
        <v>27</v>
      </c>
      <c r="Q152">
        <f>SUM(Q154:Q163)</f>
        <v>480</v>
      </c>
      <c r="R152">
        <f>SUM(R154:R163)</f>
        <v>19580</v>
      </c>
      <c r="S152" s="7">
        <f>SUM(S154:S163)</f>
        <v>333176384</v>
      </c>
      <c r="T152" s="7">
        <f>16923/3</f>
        <v>5641</v>
      </c>
    </row>
    <row r="153" spans="10:16" ht="12.75">
      <c r="J153" t="s">
        <v>28</v>
      </c>
      <c r="P153" t="s">
        <v>28</v>
      </c>
    </row>
    <row r="154" spans="10:20" ht="12.75">
      <c r="J154" t="s">
        <v>15</v>
      </c>
      <c r="K154">
        <v>1897</v>
      </c>
      <c r="L154">
        <v>0</v>
      </c>
      <c r="M154">
        <v>5045511</v>
      </c>
      <c r="N154">
        <f>12882/3</f>
        <v>4294</v>
      </c>
      <c r="P154" t="s">
        <v>15</v>
      </c>
      <c r="Q154">
        <v>56</v>
      </c>
      <c r="R154">
        <v>0</v>
      </c>
      <c r="S154">
        <v>125690</v>
      </c>
      <c r="T154">
        <f>17139/3</f>
        <v>5713</v>
      </c>
    </row>
    <row r="155" spans="10:20" ht="12.75">
      <c r="J155" t="s">
        <v>16</v>
      </c>
      <c r="K155">
        <v>6073</v>
      </c>
      <c r="L155">
        <v>10186</v>
      </c>
      <c r="M155">
        <v>121515057</v>
      </c>
      <c r="N155">
        <f>12035/3</f>
        <v>4011.6666666666665</v>
      </c>
      <c r="P155" t="s">
        <v>16</v>
      </c>
      <c r="Q155">
        <v>158</v>
      </c>
      <c r="R155">
        <v>286</v>
      </c>
      <c r="S155">
        <v>6171152</v>
      </c>
      <c r="T155">
        <f>20990/3</f>
        <v>6996.666666666667</v>
      </c>
    </row>
    <row r="156" spans="10:20" ht="12.75">
      <c r="J156" t="s">
        <v>17</v>
      </c>
      <c r="K156">
        <v>1157</v>
      </c>
      <c r="L156">
        <v>7671</v>
      </c>
      <c r="M156">
        <v>81750699</v>
      </c>
      <c r="N156">
        <f>10631/3</f>
        <v>3543.6666666666665</v>
      </c>
      <c r="P156" t="s">
        <v>17</v>
      </c>
      <c r="Q156">
        <v>60</v>
      </c>
      <c r="R156">
        <v>389</v>
      </c>
      <c r="S156">
        <v>7045123</v>
      </c>
      <c r="T156">
        <f>17851/3</f>
        <v>5950.333333333333</v>
      </c>
    </row>
    <row r="157" spans="10:20" ht="12.75">
      <c r="J157" s="5" t="s">
        <v>61</v>
      </c>
      <c r="K157">
        <v>685</v>
      </c>
      <c r="L157">
        <v>9207</v>
      </c>
      <c r="M157">
        <v>107869268</v>
      </c>
      <c r="N157">
        <f>11759/3</f>
        <v>3919.6666666666665</v>
      </c>
      <c r="P157" s="5" t="s">
        <v>61</v>
      </c>
      <c r="Q157">
        <v>46</v>
      </c>
      <c r="R157">
        <v>652</v>
      </c>
      <c r="S157">
        <v>9474588</v>
      </c>
      <c r="T157">
        <f>14435/3</f>
        <v>4811.666666666667</v>
      </c>
    </row>
    <row r="158" spans="10:20" ht="12.75">
      <c r="J158" t="s">
        <v>18</v>
      </c>
      <c r="K158">
        <v>458</v>
      </c>
      <c r="L158">
        <v>13657</v>
      </c>
      <c r="M158">
        <v>189134694</v>
      </c>
      <c r="N158">
        <f>13889/3</f>
        <v>4629.666666666667</v>
      </c>
      <c r="P158" t="s">
        <v>18</v>
      </c>
      <c r="Q158">
        <v>78</v>
      </c>
      <c r="R158">
        <v>2533</v>
      </c>
      <c r="S158">
        <v>45048978</v>
      </c>
      <c r="T158">
        <f>17710/3</f>
        <v>5903.333333333333</v>
      </c>
    </row>
    <row r="159" spans="10:20" ht="12.75">
      <c r="J159" t="s">
        <v>19</v>
      </c>
      <c r="K159">
        <v>156</v>
      </c>
      <c r="L159">
        <v>10675</v>
      </c>
      <c r="M159">
        <v>165785841</v>
      </c>
      <c r="N159">
        <f>15645/3</f>
        <v>5215</v>
      </c>
      <c r="P159" t="s">
        <v>19</v>
      </c>
      <c r="Q159">
        <v>38</v>
      </c>
      <c r="R159">
        <v>2610</v>
      </c>
      <c r="S159">
        <v>52131350</v>
      </c>
      <c r="T159">
        <f>19910/3</f>
        <v>6636.666666666667</v>
      </c>
    </row>
    <row r="160" spans="10:20" ht="12.75">
      <c r="J160" t="s">
        <v>20</v>
      </c>
      <c r="K160">
        <v>76</v>
      </c>
      <c r="L160">
        <v>11228</v>
      </c>
      <c r="M160">
        <v>192065742</v>
      </c>
      <c r="N160">
        <f>17008/3</f>
        <v>5669.333333333333</v>
      </c>
      <c r="P160" t="s">
        <v>20</v>
      </c>
      <c r="Q160">
        <v>28</v>
      </c>
      <c r="R160">
        <v>4402</v>
      </c>
      <c r="S160">
        <v>76344220</v>
      </c>
      <c r="T160">
        <f>17218/3</f>
        <v>5739.333333333333</v>
      </c>
    </row>
    <row r="161" spans="10:20" ht="12.75">
      <c r="J161" t="s">
        <v>22</v>
      </c>
      <c r="K161">
        <v>11</v>
      </c>
      <c r="L161">
        <f>3391+649</f>
        <v>4040</v>
      </c>
      <c r="M161">
        <f>69587637+8831118</f>
        <v>78418755</v>
      </c>
      <c r="N161" s="10">
        <f>+M161/12486</f>
        <v>6280.534598750601</v>
      </c>
      <c r="P161" t="s">
        <v>21</v>
      </c>
      <c r="Q161">
        <v>12</v>
      </c>
      <c r="R161">
        <v>4529</v>
      </c>
      <c r="S161">
        <v>79246213</v>
      </c>
      <c r="T161">
        <f>17417/3</f>
        <v>5805.666666666667</v>
      </c>
    </row>
    <row r="162" spans="10:20" ht="12.75">
      <c r="J162" t="s">
        <v>28</v>
      </c>
      <c r="K162" t="s">
        <v>28</v>
      </c>
      <c r="L162" t="s">
        <v>28</v>
      </c>
      <c r="M162" t="s">
        <v>28</v>
      </c>
      <c r="N162" t="s">
        <v>28</v>
      </c>
      <c r="P162" t="s">
        <v>31</v>
      </c>
      <c r="Q162">
        <v>4</v>
      </c>
      <c r="R162">
        <f>1113+3066</f>
        <v>4179</v>
      </c>
      <c r="S162">
        <f>27083087+30505983</f>
        <v>57589070</v>
      </c>
      <c r="T162" s="10">
        <f>+S162/13574</f>
        <v>4242.601296596435</v>
      </c>
    </row>
    <row r="166" spans="10:17" ht="12.75">
      <c r="J166" t="s">
        <v>42</v>
      </c>
      <c r="Q166" t="s">
        <v>66</v>
      </c>
    </row>
    <row r="168" spans="13:20" ht="12.75">
      <c r="M168" t="s">
        <v>2</v>
      </c>
      <c r="N168" t="s">
        <v>3</v>
      </c>
      <c r="S168" t="s">
        <v>2</v>
      </c>
      <c r="T168" t="s">
        <v>3</v>
      </c>
    </row>
    <row r="169" spans="10:20" ht="12.75">
      <c r="J169" t="s">
        <v>4</v>
      </c>
      <c r="K169" t="s">
        <v>5</v>
      </c>
      <c r="L169" t="s">
        <v>6</v>
      </c>
      <c r="M169" t="s">
        <v>7</v>
      </c>
      <c r="N169" t="s">
        <v>8</v>
      </c>
      <c r="P169" t="s">
        <v>4</v>
      </c>
      <c r="Q169" t="s">
        <v>5</v>
      </c>
      <c r="R169" t="s">
        <v>6</v>
      </c>
      <c r="S169" t="s">
        <v>7</v>
      </c>
      <c r="T169" t="s">
        <v>8</v>
      </c>
    </row>
    <row r="170" spans="10:20" ht="12.75">
      <c r="J170" t="s">
        <v>9</v>
      </c>
      <c r="K170" t="s">
        <v>10</v>
      </c>
      <c r="L170" t="s">
        <v>11</v>
      </c>
      <c r="M170" t="s">
        <v>12</v>
      </c>
      <c r="N170" t="s">
        <v>13</v>
      </c>
      <c r="P170" t="s">
        <v>9</v>
      </c>
      <c r="Q170" t="s">
        <v>10</v>
      </c>
      <c r="R170" t="s">
        <v>11</v>
      </c>
      <c r="S170" t="s">
        <v>12</v>
      </c>
      <c r="T170" t="s">
        <v>13</v>
      </c>
    </row>
    <row r="173" spans="10:20" ht="12.75">
      <c r="J173" t="s">
        <v>27</v>
      </c>
      <c r="K173">
        <f>SUM(K175:K184)</f>
        <v>4949</v>
      </c>
      <c r="L173">
        <f>SUM(L175:L184)</f>
        <v>62513</v>
      </c>
      <c r="M173" s="7">
        <f>SUM(M175:M184)</f>
        <v>431478122</v>
      </c>
      <c r="N173" s="7">
        <f>6848/3</f>
        <v>2282.6666666666665</v>
      </c>
      <c r="P173" t="s">
        <v>27</v>
      </c>
      <c r="Q173">
        <f>SUM(Q175:Q183)</f>
        <v>1072</v>
      </c>
      <c r="R173">
        <f>SUM(R175:R183)</f>
        <v>34783</v>
      </c>
      <c r="S173" s="7">
        <f>SUM(S175:S183)</f>
        <v>219287314</v>
      </c>
      <c r="T173" s="7">
        <f>6323/3</f>
        <v>2107.6666666666665</v>
      </c>
    </row>
    <row r="174" spans="10:16" ht="12.75">
      <c r="J174" t="s">
        <v>28</v>
      </c>
      <c r="P174" t="s">
        <v>28</v>
      </c>
    </row>
    <row r="175" spans="10:20" ht="12.75">
      <c r="J175" t="s">
        <v>15</v>
      </c>
      <c r="K175">
        <v>1091</v>
      </c>
      <c r="L175">
        <v>0</v>
      </c>
      <c r="M175">
        <v>2215396</v>
      </c>
      <c r="N175">
        <f>6873/3</f>
        <v>2291</v>
      </c>
      <c r="P175" t="s">
        <v>15</v>
      </c>
      <c r="Q175">
        <v>141</v>
      </c>
      <c r="R175">
        <v>0</v>
      </c>
      <c r="S175">
        <v>702470</v>
      </c>
      <c r="T175">
        <f>5531/3</f>
        <v>1843.6666666666667</v>
      </c>
    </row>
    <row r="176" spans="10:20" ht="12.75">
      <c r="J176" t="s">
        <v>16</v>
      </c>
      <c r="K176">
        <v>2272</v>
      </c>
      <c r="L176">
        <v>4134</v>
      </c>
      <c r="M176">
        <v>31301652</v>
      </c>
      <c r="N176">
        <f>7710/3</f>
        <v>2570</v>
      </c>
      <c r="P176" t="s">
        <v>16</v>
      </c>
      <c r="Q176">
        <v>432</v>
      </c>
      <c r="R176">
        <v>807</v>
      </c>
      <c r="S176">
        <v>5214382</v>
      </c>
      <c r="T176">
        <f>6575/3</f>
        <v>2191.6666666666665</v>
      </c>
    </row>
    <row r="177" spans="10:20" ht="12.75">
      <c r="J177" t="s">
        <v>17</v>
      </c>
      <c r="K177">
        <v>661</v>
      </c>
      <c r="L177">
        <v>4379</v>
      </c>
      <c r="M177">
        <v>30226393</v>
      </c>
      <c r="N177">
        <f>7085/3</f>
        <v>2361.6666666666665</v>
      </c>
      <c r="P177" t="s">
        <v>17</v>
      </c>
      <c r="Q177">
        <v>162</v>
      </c>
      <c r="R177">
        <v>1095</v>
      </c>
      <c r="S177">
        <v>6053679</v>
      </c>
      <c r="T177">
        <f>5574/3</f>
        <v>1858</v>
      </c>
    </row>
    <row r="178" spans="10:20" ht="12.75">
      <c r="J178" s="5" t="s">
        <v>61</v>
      </c>
      <c r="K178">
        <v>402</v>
      </c>
      <c r="L178">
        <v>5496</v>
      </c>
      <c r="M178">
        <v>35650482</v>
      </c>
      <c r="N178">
        <f>6506/3</f>
        <v>2168.6666666666665</v>
      </c>
      <c r="P178" s="5" t="s">
        <v>61</v>
      </c>
      <c r="Q178">
        <v>142</v>
      </c>
      <c r="R178">
        <v>1965</v>
      </c>
      <c r="S178">
        <v>10950223</v>
      </c>
      <c r="T178">
        <f>5660/3</f>
        <v>1886.6666666666667</v>
      </c>
    </row>
    <row r="179" spans="10:20" ht="12.75">
      <c r="J179" t="s">
        <v>18</v>
      </c>
      <c r="K179">
        <v>285</v>
      </c>
      <c r="L179">
        <v>8789</v>
      </c>
      <c r="M179">
        <v>59378199</v>
      </c>
      <c r="N179">
        <f>6686/3</f>
        <v>2228.6666666666665</v>
      </c>
      <c r="P179" t="s">
        <v>18</v>
      </c>
      <c r="Q179">
        <v>113</v>
      </c>
      <c r="R179">
        <v>3622</v>
      </c>
      <c r="S179">
        <v>23060394</v>
      </c>
      <c r="T179">
        <f>6484/3</f>
        <v>2161.3333333333335</v>
      </c>
    </row>
    <row r="180" spans="10:20" ht="12.75">
      <c r="J180" t="s">
        <v>19</v>
      </c>
      <c r="K180">
        <v>120</v>
      </c>
      <c r="L180">
        <v>8311</v>
      </c>
      <c r="M180">
        <v>55721077</v>
      </c>
      <c r="N180">
        <f>6635/3</f>
        <v>2211.6666666666665</v>
      </c>
      <c r="P180" t="s">
        <v>19</v>
      </c>
      <c r="Q180">
        <v>55</v>
      </c>
      <c r="R180">
        <v>3761</v>
      </c>
      <c r="S180">
        <v>26595240</v>
      </c>
      <c r="T180">
        <f>7133/3</f>
        <v>2377.6666666666665</v>
      </c>
    </row>
    <row r="181" spans="10:20" ht="12.75">
      <c r="J181" t="s">
        <v>20</v>
      </c>
      <c r="K181">
        <v>76</v>
      </c>
      <c r="L181">
        <v>11415</v>
      </c>
      <c r="M181">
        <v>72666109</v>
      </c>
      <c r="N181">
        <f>6299/3</f>
        <v>2099.6666666666665</v>
      </c>
      <c r="P181" t="s">
        <v>20</v>
      </c>
      <c r="Q181">
        <v>17</v>
      </c>
      <c r="R181">
        <v>2286</v>
      </c>
      <c r="S181">
        <v>19703308</v>
      </c>
      <c r="T181">
        <f>8589/3</f>
        <v>2863</v>
      </c>
    </row>
    <row r="182" spans="10:20" ht="12.75">
      <c r="J182" t="s">
        <v>21</v>
      </c>
      <c r="K182">
        <v>32</v>
      </c>
      <c r="L182">
        <v>10707</v>
      </c>
      <c r="M182">
        <v>72362817</v>
      </c>
      <c r="N182">
        <f>6746/3</f>
        <v>2248.6666666666665</v>
      </c>
      <c r="P182" t="s">
        <v>65</v>
      </c>
      <c r="Q182">
        <v>7</v>
      </c>
      <c r="R182">
        <v>2505</v>
      </c>
      <c r="S182">
        <v>22116714</v>
      </c>
      <c r="T182">
        <f>8964/3</f>
        <v>2988</v>
      </c>
    </row>
    <row r="183" spans="10:20" ht="12.75">
      <c r="J183" t="s">
        <v>23</v>
      </c>
      <c r="K183">
        <v>7</v>
      </c>
      <c r="L183">
        <v>4957</v>
      </c>
      <c r="M183">
        <v>38626611</v>
      </c>
      <c r="N183">
        <f>7832/3</f>
        <v>2610.6666666666665</v>
      </c>
      <c r="P183" t="s">
        <v>64</v>
      </c>
      <c r="Q183">
        <v>3</v>
      </c>
      <c r="R183">
        <f>577+18165</f>
        <v>18742</v>
      </c>
      <c r="S183">
        <f>5638718+99252186</f>
        <v>104890904</v>
      </c>
      <c r="T183" s="10">
        <f>+S183/55142</f>
        <v>1902.1962206666424</v>
      </c>
    </row>
    <row r="184" spans="10:14" ht="12.75">
      <c r="J184" t="s">
        <v>24</v>
      </c>
      <c r="K184">
        <v>3</v>
      </c>
      <c r="L184">
        <v>4325</v>
      </c>
      <c r="M184">
        <v>33329386</v>
      </c>
      <c r="N184">
        <f>7570/3</f>
        <v>2523.3333333333335</v>
      </c>
    </row>
    <row r="189" ht="12.75">
      <c r="L189" t="s">
        <v>67</v>
      </c>
    </row>
    <row r="190" spans="13:17" ht="12.75">
      <c r="M190" s="19" t="s">
        <v>69</v>
      </c>
      <c r="N190" s="18"/>
      <c r="O190" s="18"/>
      <c r="P190" s="18"/>
      <c r="Q190" s="18"/>
    </row>
    <row r="194" spans="11:17" ht="12.75">
      <c r="K194" t="s">
        <v>43</v>
      </c>
      <c r="Q194" t="s">
        <v>44</v>
      </c>
    </row>
    <row r="196" spans="13:20" ht="12.75">
      <c r="M196" t="s">
        <v>2</v>
      </c>
      <c r="N196" t="s">
        <v>3</v>
      </c>
      <c r="S196" t="s">
        <v>2</v>
      </c>
      <c r="T196" t="s">
        <v>3</v>
      </c>
    </row>
    <row r="197" spans="10:20" ht="12.75">
      <c r="J197" t="s">
        <v>4</v>
      </c>
      <c r="K197" t="s">
        <v>5</v>
      </c>
      <c r="L197" t="s">
        <v>6</v>
      </c>
      <c r="M197" t="s">
        <v>7</v>
      </c>
      <c r="N197" t="s">
        <v>8</v>
      </c>
      <c r="P197" t="s">
        <v>4</v>
      </c>
      <c r="Q197" t="s">
        <v>5</v>
      </c>
      <c r="R197" t="s">
        <v>6</v>
      </c>
      <c r="S197" t="s">
        <v>7</v>
      </c>
      <c r="T197" t="s">
        <v>8</v>
      </c>
    </row>
    <row r="198" spans="10:20" ht="12.75">
      <c r="J198" t="s">
        <v>9</v>
      </c>
      <c r="K198" t="s">
        <v>10</v>
      </c>
      <c r="L198" t="s">
        <v>11</v>
      </c>
      <c r="M198" t="s">
        <v>12</v>
      </c>
      <c r="N198" t="s">
        <v>13</v>
      </c>
      <c r="P198" t="s">
        <v>9</v>
      </c>
      <c r="Q198" t="s">
        <v>10</v>
      </c>
      <c r="R198" t="s">
        <v>11</v>
      </c>
      <c r="S198" t="s">
        <v>12</v>
      </c>
      <c r="T198" t="s">
        <v>13</v>
      </c>
    </row>
    <row r="201" spans="10:20" ht="12.75">
      <c r="J201" t="s">
        <v>27</v>
      </c>
      <c r="K201">
        <f>SUM(K203:K212)</f>
        <v>6549</v>
      </c>
      <c r="L201">
        <f>SUM(L203:L212)</f>
        <v>116930</v>
      </c>
      <c r="M201" s="7">
        <f>SUM(M203:M212)</f>
        <v>1032043535</v>
      </c>
      <c r="N201" s="7">
        <f>8872/3</f>
        <v>2957.3333333333335</v>
      </c>
      <c r="P201" t="s">
        <v>27</v>
      </c>
      <c r="Q201">
        <f>SUM(Q203:Q212)</f>
        <v>945</v>
      </c>
      <c r="R201">
        <f>SUM(R203:R212)</f>
        <v>17911</v>
      </c>
      <c r="S201">
        <f>SUM(S203:S212)</f>
        <v>106975662</v>
      </c>
      <c r="T201" s="7">
        <f>5985/3</f>
        <v>1995</v>
      </c>
    </row>
    <row r="202" spans="10:16" ht="12.75">
      <c r="J202" t="s">
        <v>28</v>
      </c>
      <c r="P202" t="s">
        <v>28</v>
      </c>
    </row>
    <row r="203" spans="10:20" ht="12.75">
      <c r="J203" t="s">
        <v>15</v>
      </c>
      <c r="K203">
        <v>374</v>
      </c>
      <c r="L203">
        <v>0</v>
      </c>
      <c r="M203">
        <v>2247711</v>
      </c>
      <c r="N203">
        <f>8645/3</f>
        <v>2881.6666666666665</v>
      </c>
      <c r="P203" t="s">
        <v>15</v>
      </c>
      <c r="Q203">
        <v>192</v>
      </c>
      <c r="R203">
        <v>0</v>
      </c>
      <c r="S203">
        <v>178837</v>
      </c>
      <c r="T203">
        <f>2190/3</f>
        <v>730</v>
      </c>
    </row>
    <row r="204" spans="10:20" ht="12.75">
      <c r="J204" t="s">
        <v>16</v>
      </c>
      <c r="K204">
        <v>2702</v>
      </c>
      <c r="L204">
        <v>5277</v>
      </c>
      <c r="M204">
        <v>62383640</v>
      </c>
      <c r="N204">
        <f>11777/3</f>
        <v>3925.6666666666665</v>
      </c>
      <c r="P204" t="s">
        <v>16</v>
      </c>
      <c r="Q204">
        <v>350</v>
      </c>
      <c r="R204">
        <v>665</v>
      </c>
      <c r="S204">
        <v>3594808</v>
      </c>
      <c r="T204">
        <f>5556/3</f>
        <v>1852</v>
      </c>
    </row>
    <row r="205" spans="10:20" ht="12.75">
      <c r="J205" t="s">
        <v>17</v>
      </c>
      <c r="K205">
        <v>1516</v>
      </c>
      <c r="L205">
        <v>10322</v>
      </c>
      <c r="M205">
        <v>74469747</v>
      </c>
      <c r="N205">
        <f>7251/3</f>
        <v>2417</v>
      </c>
      <c r="P205" t="s">
        <v>17</v>
      </c>
      <c r="Q205">
        <v>136</v>
      </c>
      <c r="R205">
        <v>888</v>
      </c>
      <c r="S205">
        <v>3568464</v>
      </c>
      <c r="T205">
        <f>4188/3</f>
        <v>1396</v>
      </c>
    </row>
    <row r="206" spans="10:20" ht="12.75">
      <c r="J206" s="5" t="s">
        <v>61</v>
      </c>
      <c r="K206">
        <v>1027</v>
      </c>
      <c r="L206">
        <v>13585</v>
      </c>
      <c r="M206">
        <v>97579739</v>
      </c>
      <c r="N206">
        <f>7279/3</f>
        <v>2426.3333333333335</v>
      </c>
      <c r="P206" s="5" t="s">
        <v>61</v>
      </c>
      <c r="Q206">
        <v>110</v>
      </c>
      <c r="R206">
        <v>1513</v>
      </c>
      <c r="S206">
        <v>6259757</v>
      </c>
      <c r="T206">
        <f>4463/3</f>
        <v>1487.6666666666667</v>
      </c>
    </row>
    <row r="207" spans="10:20" ht="12.75">
      <c r="J207" t="s">
        <v>18</v>
      </c>
      <c r="K207">
        <v>572</v>
      </c>
      <c r="L207">
        <v>17436</v>
      </c>
      <c r="M207">
        <v>132098196</v>
      </c>
      <c r="N207">
        <f>7668/3</f>
        <v>2556</v>
      </c>
      <c r="P207" t="s">
        <v>18</v>
      </c>
      <c r="Q207">
        <v>93</v>
      </c>
      <c r="R207">
        <v>2966</v>
      </c>
      <c r="S207">
        <v>11315194</v>
      </c>
      <c r="T207">
        <f>3824/3</f>
        <v>1274.6666666666667</v>
      </c>
    </row>
    <row r="208" spans="10:20" ht="12.75">
      <c r="J208" t="s">
        <v>19</v>
      </c>
      <c r="K208">
        <v>218</v>
      </c>
      <c r="L208">
        <v>15179</v>
      </c>
      <c r="M208">
        <v>114315270</v>
      </c>
      <c r="N208">
        <f>7626/3</f>
        <v>2542</v>
      </c>
      <c r="P208" t="s">
        <v>19</v>
      </c>
      <c r="Q208">
        <v>36</v>
      </c>
      <c r="R208">
        <v>2336</v>
      </c>
      <c r="S208">
        <v>10627020</v>
      </c>
      <c r="T208">
        <f>4506/3</f>
        <v>1502</v>
      </c>
    </row>
    <row r="209" spans="10:20" ht="12.75">
      <c r="J209" t="s">
        <v>20</v>
      </c>
      <c r="K209">
        <v>97</v>
      </c>
      <c r="L209">
        <v>14220</v>
      </c>
      <c r="M209">
        <v>114659291</v>
      </c>
      <c r="N209">
        <f>8093/3</f>
        <v>2697.6666666666665</v>
      </c>
      <c r="P209" t="s">
        <v>20</v>
      </c>
      <c r="Q209">
        <v>18</v>
      </c>
      <c r="R209">
        <v>2849</v>
      </c>
      <c r="S209">
        <v>39093799</v>
      </c>
      <c r="T209">
        <f>14438/3</f>
        <v>4812.666666666667</v>
      </c>
    </row>
    <row r="210" spans="10:24" ht="12.75">
      <c r="J210" t="s">
        <v>21</v>
      </c>
      <c r="K210">
        <v>20</v>
      </c>
      <c r="L210">
        <v>6932</v>
      </c>
      <c r="M210">
        <v>66199031</v>
      </c>
      <c r="N210">
        <f>9572/3</f>
        <v>3190.6666666666665</v>
      </c>
      <c r="P210" t="s">
        <v>21</v>
      </c>
      <c r="Q210">
        <v>5</v>
      </c>
      <c r="R210">
        <v>1688</v>
      </c>
      <c r="S210">
        <v>6845697</v>
      </c>
      <c r="T210">
        <f>4072/3</f>
        <v>1357.3333333333333</v>
      </c>
      <c r="X210" t="s">
        <v>28</v>
      </c>
    </row>
    <row r="211" spans="10:20" ht="12.75">
      <c r="J211" t="s">
        <v>23</v>
      </c>
      <c r="K211">
        <v>12</v>
      </c>
      <c r="L211">
        <v>7722</v>
      </c>
      <c r="M211">
        <v>72214539</v>
      </c>
      <c r="N211">
        <f>9361/3</f>
        <v>3120.3333333333335</v>
      </c>
      <c r="P211" t="s">
        <v>31</v>
      </c>
      <c r="Q211">
        <v>5</v>
      </c>
      <c r="R211">
        <f>1978+3028</f>
        <v>5006</v>
      </c>
      <c r="S211">
        <f>7008543+18483543</f>
        <v>25492086</v>
      </c>
      <c r="T211" s="10">
        <f>+S211/14193</f>
        <v>1796.1027266962587</v>
      </c>
    </row>
    <row r="212" spans="10:20" ht="12.75">
      <c r="J212" t="s">
        <v>24</v>
      </c>
      <c r="K212">
        <v>11</v>
      </c>
      <c r="L212">
        <v>26257</v>
      </c>
      <c r="M212">
        <v>295876371</v>
      </c>
      <c r="N212">
        <f>11344/3</f>
        <v>3781.3333333333335</v>
      </c>
      <c r="P212" t="s">
        <v>28</v>
      </c>
      <c r="Q212" t="s">
        <v>28</v>
      </c>
      <c r="S212" t="s">
        <v>28</v>
      </c>
      <c r="T212" t="s">
        <v>28</v>
      </c>
    </row>
    <row r="215" spans="11:17" ht="12.75">
      <c r="K215" t="s">
        <v>45</v>
      </c>
      <c r="Q215" t="s">
        <v>46</v>
      </c>
    </row>
    <row r="217" spans="13:20" ht="12.75">
      <c r="M217" t="s">
        <v>2</v>
      </c>
      <c r="N217" t="s">
        <v>3</v>
      </c>
      <c r="S217" t="s">
        <v>2</v>
      </c>
      <c r="T217" t="s">
        <v>3</v>
      </c>
    </row>
    <row r="218" spans="10:20" ht="12.75">
      <c r="J218" t="s">
        <v>4</v>
      </c>
      <c r="K218" t="s">
        <v>5</v>
      </c>
      <c r="L218" t="s">
        <v>6</v>
      </c>
      <c r="M218" t="s">
        <v>7</v>
      </c>
      <c r="N218" t="s">
        <v>8</v>
      </c>
      <c r="P218" t="s">
        <v>4</v>
      </c>
      <c r="Q218" t="s">
        <v>5</v>
      </c>
      <c r="R218" t="s">
        <v>6</v>
      </c>
      <c r="S218" t="s">
        <v>7</v>
      </c>
      <c r="T218" t="s">
        <v>8</v>
      </c>
    </row>
    <row r="219" spans="10:20" ht="12.75">
      <c r="J219" t="s">
        <v>9</v>
      </c>
      <c r="K219" t="s">
        <v>10</v>
      </c>
      <c r="L219" t="s">
        <v>11</v>
      </c>
      <c r="M219" t="s">
        <v>12</v>
      </c>
      <c r="N219" t="s">
        <v>13</v>
      </c>
      <c r="P219" t="s">
        <v>9</v>
      </c>
      <c r="Q219" t="s">
        <v>10</v>
      </c>
      <c r="R219" t="s">
        <v>11</v>
      </c>
      <c r="S219" t="s">
        <v>12</v>
      </c>
      <c r="T219" t="s">
        <v>13</v>
      </c>
    </row>
    <row r="222" spans="10:27" ht="12.75">
      <c r="J222" t="s">
        <v>27</v>
      </c>
      <c r="K222">
        <f>SUM(K224:K232)</f>
        <v>4791</v>
      </c>
      <c r="L222">
        <f>SUM(L224:L232)</f>
        <v>94666</v>
      </c>
      <c r="M222">
        <f>SUM(M224:M232)</f>
        <v>328451172</v>
      </c>
      <c r="N222" s="7">
        <f>3504/3</f>
        <v>1168</v>
      </c>
      <c r="O222" s="1"/>
      <c r="P222" s="1" t="s">
        <v>27</v>
      </c>
      <c r="Q222">
        <v>4743</v>
      </c>
      <c r="R222">
        <v>34111</v>
      </c>
      <c r="S222">
        <v>229004093</v>
      </c>
      <c r="T222">
        <v>2243.95019303506</v>
      </c>
      <c r="AA222" s="9" t="s">
        <v>63</v>
      </c>
    </row>
    <row r="223" spans="10:16" ht="12.75">
      <c r="J223" t="s">
        <v>28</v>
      </c>
      <c r="P223" t="s">
        <v>28</v>
      </c>
    </row>
    <row r="224" spans="10:29" ht="12.75">
      <c r="J224" t="s">
        <v>15</v>
      </c>
      <c r="K224">
        <v>327</v>
      </c>
      <c r="L224">
        <v>0</v>
      </c>
      <c r="M224">
        <v>3655812</v>
      </c>
      <c r="N224">
        <f>5132/3</f>
        <v>1710.6666666666667</v>
      </c>
      <c r="P224" t="s">
        <v>15</v>
      </c>
      <c r="Q224">
        <v>437</v>
      </c>
      <c r="R224">
        <v>0</v>
      </c>
      <c r="S224">
        <v>729182</v>
      </c>
      <c r="T224">
        <v>2095.3505747126437</v>
      </c>
      <c r="V224">
        <v>3</v>
      </c>
      <c r="W224">
        <v>0</v>
      </c>
      <c r="X224">
        <v>22452</v>
      </c>
      <c r="Y224" s="8" t="e">
        <f>+X224+#REF!</f>
        <v>#REF!</v>
      </c>
      <c r="Z224" s="8" t="e">
        <f>+#REF!+#REF!</f>
        <v>#REF!</v>
      </c>
      <c r="AA224" s="8" t="e">
        <f>+U224+#REF!</f>
        <v>#REF!</v>
      </c>
      <c r="AB224" s="8" t="e">
        <f>+V224+#REF!</f>
        <v>#REF!</v>
      </c>
      <c r="AC224" s="8" t="e">
        <f>+W224+#REF!</f>
        <v>#REF!</v>
      </c>
    </row>
    <row r="225" spans="10:29" ht="12.75">
      <c r="J225" t="s">
        <v>16</v>
      </c>
      <c r="K225">
        <v>793</v>
      </c>
      <c r="L225">
        <v>1999</v>
      </c>
      <c r="M225">
        <v>6979545</v>
      </c>
      <c r="N225">
        <f>3512/3</f>
        <v>1170.6666666666667</v>
      </c>
      <c r="P225" t="s">
        <v>16</v>
      </c>
      <c r="Q225">
        <v>2443</v>
      </c>
      <c r="R225">
        <v>5153</v>
      </c>
      <c r="S225">
        <v>31378049</v>
      </c>
      <c r="T225">
        <v>2030.2846328049175</v>
      </c>
      <c r="V225">
        <v>27</v>
      </c>
      <c r="W225">
        <v>33</v>
      </c>
      <c r="X225">
        <v>319659</v>
      </c>
      <c r="Y225" s="8" t="e">
        <f>+X225+#REF!</f>
        <v>#REF!</v>
      </c>
      <c r="Z225" s="8" t="e">
        <f>+#REF!+#REF!</f>
        <v>#REF!</v>
      </c>
      <c r="AA225" s="8" t="e">
        <f>+U225+#REF!</f>
        <v>#REF!</v>
      </c>
      <c r="AB225" s="8" t="e">
        <f>+V225+#REF!</f>
        <v>#REF!</v>
      </c>
      <c r="AC225" s="8" t="e">
        <f>+W225+#REF!</f>
        <v>#REF!</v>
      </c>
    </row>
    <row r="226" spans="10:29" ht="12.75">
      <c r="J226" t="s">
        <v>17</v>
      </c>
      <c r="K226">
        <v>813</v>
      </c>
      <c r="L226">
        <v>5606</v>
      </c>
      <c r="M226">
        <v>14985008</v>
      </c>
      <c r="N226">
        <f>2756/3</f>
        <v>918.6666666666666</v>
      </c>
      <c r="P226" t="s">
        <v>17</v>
      </c>
      <c r="Q226">
        <v>1060</v>
      </c>
      <c r="R226">
        <v>7071</v>
      </c>
      <c r="S226">
        <v>43184860</v>
      </c>
      <c r="T226">
        <v>2048.0347149767617</v>
      </c>
      <c r="V226">
        <v>0</v>
      </c>
      <c r="W226">
        <v>0</v>
      </c>
      <c r="X226">
        <v>0</v>
      </c>
      <c r="Y226" s="8" t="e">
        <f>+X226+#REF!</f>
        <v>#REF!</v>
      </c>
      <c r="Z226" s="8" t="e">
        <f>+#REF!+#REF!</f>
        <v>#REF!</v>
      </c>
      <c r="AA226" s="8" t="e">
        <f>+U226+#REF!</f>
        <v>#REF!</v>
      </c>
      <c r="AB226" s="8" t="e">
        <f>+V226+#REF!</f>
        <v>#REF!</v>
      </c>
      <c r="AC226" s="8" t="e">
        <f>+W226+#REF!</f>
        <v>#REF!</v>
      </c>
    </row>
    <row r="227" spans="10:29" ht="12.75">
      <c r="J227" s="5" t="s">
        <v>61</v>
      </c>
      <c r="K227">
        <v>1299</v>
      </c>
      <c r="L227">
        <v>18506</v>
      </c>
      <c r="M227">
        <v>50718633</v>
      </c>
      <c r="N227">
        <f>2813/3</f>
        <v>937.6666666666666</v>
      </c>
      <c r="P227" s="5" t="s">
        <v>61</v>
      </c>
      <c r="Q227">
        <v>536</v>
      </c>
      <c r="R227">
        <v>6995</v>
      </c>
      <c r="S227">
        <v>44133852</v>
      </c>
      <c r="T227">
        <v>2141.484400019409</v>
      </c>
      <c r="V227">
        <v>0</v>
      </c>
      <c r="W227">
        <v>0</v>
      </c>
      <c r="X227">
        <v>0</v>
      </c>
      <c r="Y227" s="8" t="e">
        <f>+X227+#REF!</f>
        <v>#REF!</v>
      </c>
      <c r="Z227" s="8" t="e">
        <f>+#REF!+#REF!</f>
        <v>#REF!</v>
      </c>
      <c r="AA227" s="8" t="e">
        <f>+U227+#REF!</f>
        <v>#REF!</v>
      </c>
      <c r="AB227" s="8" t="e">
        <f>+V227+#REF!</f>
        <v>#REF!</v>
      </c>
      <c r="AC227" s="8" t="e">
        <f>+W227+#REF!</f>
        <v>#REF!</v>
      </c>
    </row>
    <row r="228" spans="10:29" ht="12.75">
      <c r="J228" t="s">
        <v>18</v>
      </c>
      <c r="K228">
        <v>1212</v>
      </c>
      <c r="L228">
        <v>35926</v>
      </c>
      <c r="M228">
        <v>112649337</v>
      </c>
      <c r="N228">
        <f>3205/3</f>
        <v>1068.3333333333333</v>
      </c>
      <c r="O228" s="1"/>
      <c r="P228" s="1" t="s">
        <v>18</v>
      </c>
      <c r="Q228">
        <v>203</v>
      </c>
      <c r="R228">
        <v>5879</v>
      </c>
      <c r="S228">
        <v>38488655</v>
      </c>
      <c r="T228">
        <v>2204.1378421715726</v>
      </c>
      <c r="Y228" s="8" t="e">
        <f>+X228+#REF!</f>
        <v>#REF!</v>
      </c>
      <c r="Z228" s="8" t="e">
        <f>+#REF!+#REF!</f>
        <v>#REF!</v>
      </c>
      <c r="AA228" s="8" t="e">
        <f>+U228+#REF!</f>
        <v>#REF!</v>
      </c>
      <c r="AB228" s="8" t="e">
        <f>+V228+#REF!</f>
        <v>#REF!</v>
      </c>
      <c r="AC228" s="8" t="e">
        <f>+W228+#REF!</f>
        <v>#REF!</v>
      </c>
    </row>
    <row r="229" spans="10:29" ht="12.75">
      <c r="J229" t="s">
        <v>19</v>
      </c>
      <c r="K229">
        <v>282</v>
      </c>
      <c r="L229">
        <v>18337</v>
      </c>
      <c r="M229">
        <v>69599398</v>
      </c>
      <c r="N229">
        <f>3892/3</f>
        <v>1297.3333333333333</v>
      </c>
      <c r="O229" s="1"/>
      <c r="P229" s="1" t="s">
        <v>19</v>
      </c>
      <c r="Q229">
        <v>39</v>
      </c>
      <c r="R229">
        <v>2672</v>
      </c>
      <c r="S229">
        <v>17718242</v>
      </c>
      <c r="T229">
        <v>2215.0571321415177</v>
      </c>
      <c r="Y229" s="8" t="e">
        <f>+X229+#REF!</f>
        <v>#REF!</v>
      </c>
      <c r="Z229" s="8" t="e">
        <f>+#REF!+#REF!</f>
        <v>#REF!</v>
      </c>
      <c r="AA229" s="8" t="e">
        <f>+U229+#REF!</f>
        <v>#REF!</v>
      </c>
      <c r="AB229" s="8" t="e">
        <f>+V229+#REF!</f>
        <v>#REF!</v>
      </c>
      <c r="AC229" s="8" t="e">
        <f>+W229+#REF!</f>
        <v>#REF!</v>
      </c>
    </row>
    <row r="230" spans="10:29" ht="12.75">
      <c r="J230" t="s">
        <v>20</v>
      </c>
      <c r="K230">
        <v>51</v>
      </c>
      <c r="L230">
        <v>7079</v>
      </c>
      <c r="M230">
        <v>28888247</v>
      </c>
      <c r="N230">
        <f>4137/3</f>
        <v>1379</v>
      </c>
      <c r="O230" s="1"/>
      <c r="P230" s="1" t="s">
        <v>20</v>
      </c>
      <c r="Q230">
        <v>16</v>
      </c>
      <c r="R230">
        <v>2266</v>
      </c>
      <c r="S230">
        <v>15467165</v>
      </c>
      <c r="T230">
        <v>2255.0174952617</v>
      </c>
      <c r="Y230" s="8" t="e">
        <f>+X230+#REF!</f>
        <v>#REF!</v>
      </c>
      <c r="Z230" s="8" t="e">
        <f>+#REF!+#REF!</f>
        <v>#REF!</v>
      </c>
      <c r="AA230" s="8" t="e">
        <f>+U230+#REF!</f>
        <v>#REF!</v>
      </c>
      <c r="AB230" s="8" t="e">
        <f>+V230+#REF!</f>
        <v>#REF!</v>
      </c>
      <c r="AC230" s="8" t="e">
        <f>+W230+#REF!</f>
        <v>#REF!</v>
      </c>
    </row>
    <row r="231" spans="10:29" ht="12.75">
      <c r="J231" t="s">
        <v>21</v>
      </c>
      <c r="K231">
        <v>11</v>
      </c>
      <c r="L231">
        <v>3877</v>
      </c>
      <c r="M231">
        <v>21843620</v>
      </c>
      <c r="N231">
        <f>5363/3</f>
        <v>1787.6666666666667</v>
      </c>
      <c r="O231" s="1"/>
      <c r="P231" s="1" t="s">
        <v>21</v>
      </c>
      <c r="Q231">
        <v>6</v>
      </c>
      <c r="R231">
        <v>2078</v>
      </c>
      <c r="S231">
        <v>14098800</v>
      </c>
      <c r="T231">
        <v>2261.234963913392</v>
      </c>
      <c r="Y231" s="8" t="e">
        <f>+X231+#REF!</f>
        <v>#REF!</v>
      </c>
      <c r="Z231" s="8" t="e">
        <f>+#REF!+#REF!</f>
        <v>#REF!</v>
      </c>
      <c r="AA231" s="8" t="e">
        <f>+U231+#REF!</f>
        <v>#REF!</v>
      </c>
      <c r="AB231" s="8" t="e">
        <f>+V231+#REF!</f>
        <v>#REF!</v>
      </c>
      <c r="AC231" s="8" t="e">
        <f>+W231+#REF!</f>
        <v>#REF!</v>
      </c>
    </row>
    <row r="232" spans="10:29" ht="12.75">
      <c r="J232" t="s">
        <v>31</v>
      </c>
      <c r="K232">
        <v>3</v>
      </c>
      <c r="L232">
        <f>642+2694</f>
        <v>3336</v>
      </c>
      <c r="M232">
        <f>4047610+15083962</f>
        <v>19131572</v>
      </c>
      <c r="N232" s="10">
        <f>+M232/13119</f>
        <v>1458.3102370607517</v>
      </c>
      <c r="P232" s="1" t="s">
        <v>59</v>
      </c>
      <c r="Q232">
        <v>3</v>
      </c>
      <c r="R232">
        <v>1997</v>
      </c>
      <c r="S232">
        <v>23805288</v>
      </c>
      <c r="T232">
        <v>3966.8868521913014</v>
      </c>
      <c r="Y232" s="8" t="e">
        <f>+X232+#REF!</f>
        <v>#REF!</v>
      </c>
      <c r="Z232" s="8" t="e">
        <f>+#REF!+#REF!</f>
        <v>#REF!</v>
      </c>
      <c r="AA232" s="8" t="e">
        <f>+U232+#REF!</f>
        <v>#REF!</v>
      </c>
      <c r="AB232" s="8" t="e">
        <f>+V232+#REF!</f>
        <v>#REF!</v>
      </c>
      <c r="AC232" s="8" t="e">
        <f>+W232+#REF!</f>
        <v>#REF!</v>
      </c>
    </row>
    <row r="233" spans="22:29" ht="12.75">
      <c r="V233">
        <f>SUM(V224:V227)</f>
        <v>30</v>
      </c>
      <c r="W233">
        <f>SUM(W224:W227)</f>
        <v>33</v>
      </c>
      <c r="X233">
        <f>SUM(X224:X227)</f>
        <v>342111</v>
      </c>
      <c r="Y233" s="8" t="e">
        <f>+X233+#REF!</f>
        <v>#REF!</v>
      </c>
      <c r="Z233" s="8" t="e">
        <f>+#REF!+#REF!</f>
        <v>#REF!</v>
      </c>
      <c r="AA233" s="8" t="e">
        <f>+U233+#REF!</f>
        <v>#REF!</v>
      </c>
      <c r="AB233" s="8" t="e">
        <f>+V233+#REF!</f>
        <v>#REF!</v>
      </c>
      <c r="AC233" s="8" t="e">
        <f>+W233+#REF!</f>
        <v>#REF!</v>
      </c>
    </row>
    <row r="234" spans="25:29" ht="12.75">
      <c r="Y234" s="8"/>
      <c r="Z234" s="8"/>
      <c r="AA234" s="8"/>
      <c r="AB234" s="8"/>
      <c r="AC234" s="8"/>
    </row>
    <row r="238" ht="12.75">
      <c r="L238" t="s">
        <v>67</v>
      </c>
    </row>
    <row r="239" spans="13:17" ht="12.75">
      <c r="M239" s="19" t="s">
        <v>69</v>
      </c>
      <c r="N239" s="18"/>
      <c r="O239" s="18"/>
      <c r="P239" s="18"/>
      <c r="Q239" s="18"/>
    </row>
    <row r="243" spans="11:17" ht="12.75">
      <c r="K243" t="s">
        <v>58</v>
      </c>
      <c r="Q243" t="s">
        <v>47</v>
      </c>
    </row>
    <row r="245" spans="13:20" ht="12.75">
      <c r="M245" t="s">
        <v>2</v>
      </c>
      <c r="N245" t="s">
        <v>3</v>
      </c>
      <c r="S245" t="s">
        <v>2</v>
      </c>
      <c r="T245" t="s">
        <v>3</v>
      </c>
    </row>
    <row r="246" spans="10:20" ht="12.75">
      <c r="J246" t="s">
        <v>4</v>
      </c>
      <c r="K246" t="s">
        <v>5</v>
      </c>
      <c r="L246" t="s">
        <v>6</v>
      </c>
      <c r="M246" t="s">
        <v>7</v>
      </c>
      <c r="N246" t="s">
        <v>8</v>
      </c>
      <c r="P246" t="s">
        <v>4</v>
      </c>
      <c r="Q246" t="s">
        <v>5</v>
      </c>
      <c r="R246" t="s">
        <v>6</v>
      </c>
      <c r="S246" t="s">
        <v>7</v>
      </c>
      <c r="T246" t="s">
        <v>8</v>
      </c>
    </row>
    <row r="247" spans="10:20" ht="12.75">
      <c r="J247" t="s">
        <v>9</v>
      </c>
      <c r="K247" t="s">
        <v>10</v>
      </c>
      <c r="L247" t="s">
        <v>11</v>
      </c>
      <c r="M247" t="s">
        <v>12</v>
      </c>
      <c r="N247" t="s">
        <v>13</v>
      </c>
      <c r="P247" t="s">
        <v>9</v>
      </c>
      <c r="Q247" t="s">
        <v>10</v>
      </c>
      <c r="R247" t="s">
        <v>11</v>
      </c>
      <c r="S247" t="s">
        <v>12</v>
      </c>
      <c r="T247" t="s">
        <v>13</v>
      </c>
    </row>
    <row r="250" spans="10:20" ht="12.75">
      <c r="J250" s="1" t="s">
        <v>27</v>
      </c>
      <c r="K250" s="1">
        <f>SUM(K252:K261)</f>
        <v>3743</v>
      </c>
      <c r="L250" s="1">
        <f>SUM(L252:L261)</f>
        <v>216539</v>
      </c>
      <c r="M250" s="7">
        <f>SUM(M252:M261)</f>
        <v>2051380566</v>
      </c>
      <c r="N250" s="2">
        <f>9509/3</f>
        <v>3169.6666666666665</v>
      </c>
      <c r="P250" t="s">
        <v>27</v>
      </c>
      <c r="Q250">
        <f>SUM(Q252:Q261)</f>
        <v>577</v>
      </c>
      <c r="R250">
        <f>SUM(R252:R261)</f>
        <v>35606</v>
      </c>
      <c r="S250" s="7">
        <f>SUM(S252:S261)</f>
        <v>490864381</v>
      </c>
      <c r="T250" s="7">
        <f>13920/3</f>
        <v>4640</v>
      </c>
    </row>
    <row r="251" spans="10:16" ht="12.75">
      <c r="J251" t="s">
        <v>28</v>
      </c>
      <c r="P251" t="s">
        <v>28</v>
      </c>
    </row>
    <row r="252" spans="10:20" ht="12.75">
      <c r="J252" t="s">
        <v>15</v>
      </c>
      <c r="K252">
        <v>74</v>
      </c>
      <c r="L252">
        <v>0</v>
      </c>
      <c r="M252">
        <v>45902</v>
      </c>
      <c r="N252">
        <f>13771/3</f>
        <v>4590.333333333333</v>
      </c>
      <c r="P252" t="s">
        <v>15</v>
      </c>
      <c r="Q252">
        <v>38</v>
      </c>
      <c r="R252">
        <v>0</v>
      </c>
      <c r="S252">
        <v>7986</v>
      </c>
      <c r="T252">
        <f>5990/3</f>
        <v>1996.6666666666667</v>
      </c>
    </row>
    <row r="253" spans="10:20" ht="12.75">
      <c r="J253" t="s">
        <v>16</v>
      </c>
      <c r="K253">
        <v>802</v>
      </c>
      <c r="L253">
        <v>1890</v>
      </c>
      <c r="M253">
        <v>16522741</v>
      </c>
      <c r="N253">
        <f>8817/3</f>
        <v>2939</v>
      </c>
      <c r="P253" t="s">
        <v>16</v>
      </c>
      <c r="Q253">
        <v>255</v>
      </c>
      <c r="R253">
        <v>568</v>
      </c>
      <c r="S253">
        <v>5557661</v>
      </c>
      <c r="T253">
        <f>10099/3</f>
        <v>3366.3333333333335</v>
      </c>
    </row>
    <row r="254" spans="10:20" ht="12.75">
      <c r="J254" t="s">
        <v>17</v>
      </c>
      <c r="K254">
        <v>683</v>
      </c>
      <c r="L254">
        <v>4508</v>
      </c>
      <c r="M254">
        <v>34818907</v>
      </c>
      <c r="N254">
        <f>7776/3</f>
        <v>2592</v>
      </c>
      <c r="P254" t="s">
        <v>17</v>
      </c>
      <c r="Q254">
        <v>78</v>
      </c>
      <c r="R254">
        <v>518</v>
      </c>
      <c r="S254">
        <v>6032285</v>
      </c>
      <c r="T254">
        <f>12000/3</f>
        <v>4000</v>
      </c>
    </row>
    <row r="255" spans="10:20" ht="12.75">
      <c r="J255" s="5" t="s">
        <v>61</v>
      </c>
      <c r="K255">
        <v>489</v>
      </c>
      <c r="L255">
        <v>6773</v>
      </c>
      <c r="M255">
        <v>59804280</v>
      </c>
      <c r="N255">
        <f>8881/3</f>
        <v>2960.3333333333335</v>
      </c>
      <c r="P255" s="5" t="s">
        <v>61</v>
      </c>
      <c r="Q255">
        <v>73</v>
      </c>
      <c r="R255">
        <v>1018</v>
      </c>
      <c r="S255">
        <v>13486875</v>
      </c>
      <c r="T255">
        <f>13314/3</f>
        <v>4438</v>
      </c>
    </row>
    <row r="256" spans="10:20" ht="12.75">
      <c r="J256" s="1" t="s">
        <v>18</v>
      </c>
      <c r="K256" s="1">
        <v>670</v>
      </c>
      <c r="L256" s="1">
        <v>21680</v>
      </c>
      <c r="M256" s="1">
        <v>190139064</v>
      </c>
      <c r="N256">
        <f>8826/3</f>
        <v>2942</v>
      </c>
      <c r="P256" t="s">
        <v>18</v>
      </c>
      <c r="Q256">
        <v>51</v>
      </c>
      <c r="R256">
        <v>1656</v>
      </c>
      <c r="S256">
        <v>21945528</v>
      </c>
      <c r="T256">
        <f>13228/3</f>
        <v>4409.333333333333</v>
      </c>
    </row>
    <row r="257" spans="10:20" ht="12.75">
      <c r="J257" s="1" t="s">
        <v>19</v>
      </c>
      <c r="K257" s="1">
        <v>689</v>
      </c>
      <c r="L257" s="1">
        <v>46642</v>
      </c>
      <c r="M257" s="1">
        <v>400641799</v>
      </c>
      <c r="N257" s="1">
        <f>8608/3</f>
        <v>2869.3333333333335</v>
      </c>
      <c r="O257" t="s">
        <v>28</v>
      </c>
      <c r="P257" t="s">
        <v>19</v>
      </c>
      <c r="Q257">
        <v>42</v>
      </c>
      <c r="R257">
        <v>2939</v>
      </c>
      <c r="S257">
        <v>39358733</v>
      </c>
      <c r="T257">
        <f>13441/3</f>
        <v>4480.333333333333</v>
      </c>
    </row>
    <row r="258" spans="10:20" ht="12.75">
      <c r="J258" s="1" t="s">
        <v>20</v>
      </c>
      <c r="K258" s="1">
        <v>239</v>
      </c>
      <c r="L258" s="1">
        <v>35906</v>
      </c>
      <c r="M258" s="1">
        <v>304839982</v>
      </c>
      <c r="N258" s="1">
        <f>8521/3</f>
        <v>2840.3333333333335</v>
      </c>
      <c r="P258" t="s">
        <v>20</v>
      </c>
      <c r="Q258">
        <v>25</v>
      </c>
      <c r="R258">
        <v>3900</v>
      </c>
      <c r="S258">
        <v>52337569</v>
      </c>
      <c r="T258">
        <f>13540/3</f>
        <v>4513.333333333333</v>
      </c>
    </row>
    <row r="259" spans="10:20" ht="12.75">
      <c r="J259" s="1" t="s">
        <v>21</v>
      </c>
      <c r="K259" s="1">
        <v>53</v>
      </c>
      <c r="L259" s="1">
        <v>19161</v>
      </c>
      <c r="M259" s="1">
        <v>186584907</v>
      </c>
      <c r="N259" s="1">
        <f>9784/3</f>
        <v>3261.3333333333335</v>
      </c>
      <c r="P259" t="s">
        <v>21</v>
      </c>
      <c r="Q259">
        <v>7</v>
      </c>
      <c r="R259">
        <v>2396</v>
      </c>
      <c r="S259">
        <v>45805691</v>
      </c>
      <c r="T259">
        <f>19211/3</f>
        <v>6403.666666666667</v>
      </c>
    </row>
    <row r="260" spans="10:20" ht="12.75">
      <c r="J260" t="s">
        <v>23</v>
      </c>
      <c r="K260">
        <v>29</v>
      </c>
      <c r="L260">
        <v>19881</v>
      </c>
      <c r="M260">
        <v>166376192</v>
      </c>
      <c r="N260" s="1">
        <f>8396/3</f>
        <v>2798.6666666666665</v>
      </c>
      <c r="P260" t="s">
        <v>60</v>
      </c>
      <c r="Q260">
        <v>4</v>
      </c>
      <c r="R260">
        <v>2562</v>
      </c>
      <c r="S260">
        <v>33558857</v>
      </c>
      <c r="T260">
        <f>13031/3</f>
        <v>4343.666666666667</v>
      </c>
    </row>
    <row r="261" spans="10:20" ht="12.75">
      <c r="J261" t="s">
        <v>24</v>
      </c>
      <c r="K261">
        <v>15</v>
      </c>
      <c r="L261">
        <v>60098</v>
      </c>
      <c r="M261">
        <v>691606792</v>
      </c>
      <c r="N261">
        <f>11546/3</f>
        <v>3848.6666666666665</v>
      </c>
      <c r="P261" t="s">
        <v>24</v>
      </c>
      <c r="Q261">
        <v>4</v>
      </c>
      <c r="R261">
        <v>20049</v>
      </c>
      <c r="S261">
        <v>272773196</v>
      </c>
      <c r="T261">
        <f>13789/3</f>
        <v>4596.333333333333</v>
      </c>
    </row>
    <row r="265" spans="11:17" ht="12.75">
      <c r="K265" t="s">
        <v>48</v>
      </c>
      <c r="Q265" t="s">
        <v>49</v>
      </c>
    </row>
    <row r="267" spans="13:20" ht="12.75">
      <c r="M267" t="s">
        <v>2</v>
      </c>
      <c r="N267" t="s">
        <v>3</v>
      </c>
      <c r="S267" t="s">
        <v>2</v>
      </c>
      <c r="T267" t="s">
        <v>3</v>
      </c>
    </row>
    <row r="268" spans="10:20" ht="12.75">
      <c r="J268" t="s">
        <v>4</v>
      </c>
      <c r="K268" t="s">
        <v>5</v>
      </c>
      <c r="L268" t="s">
        <v>6</v>
      </c>
      <c r="M268" t="s">
        <v>7</v>
      </c>
      <c r="N268" t="s">
        <v>8</v>
      </c>
      <c r="P268" t="s">
        <v>4</v>
      </c>
      <c r="Q268" t="s">
        <v>5</v>
      </c>
      <c r="R268" t="s">
        <v>6</v>
      </c>
      <c r="S268" t="s">
        <v>7</v>
      </c>
      <c r="T268" t="s">
        <v>8</v>
      </c>
    </row>
    <row r="269" spans="10:20" ht="12.75">
      <c r="J269" t="s">
        <v>9</v>
      </c>
      <c r="K269" t="s">
        <v>10</v>
      </c>
      <c r="L269" t="s">
        <v>11</v>
      </c>
      <c r="M269" t="s">
        <v>12</v>
      </c>
      <c r="N269" t="s">
        <v>13</v>
      </c>
      <c r="P269" t="s">
        <v>9</v>
      </c>
      <c r="Q269" t="s">
        <v>10</v>
      </c>
      <c r="R269" t="s">
        <v>11</v>
      </c>
      <c r="S269" t="s">
        <v>12</v>
      </c>
      <c r="T269" t="s">
        <v>13</v>
      </c>
    </row>
    <row r="272" spans="10:20" ht="12.75">
      <c r="J272" t="s">
        <v>27</v>
      </c>
      <c r="K272">
        <f>SUM(K274:K283)</f>
        <v>29</v>
      </c>
      <c r="L272">
        <f>SUM(L275:L283)</f>
        <v>14045</v>
      </c>
      <c r="M272" s="7">
        <f>SUM(M275:M283)</f>
        <v>217928755</v>
      </c>
      <c r="N272" s="7">
        <f>15512/3</f>
        <v>5170.666666666667</v>
      </c>
      <c r="P272" t="s">
        <v>27</v>
      </c>
      <c r="Q272">
        <f>SUM(Q274:Q283)</f>
        <v>551</v>
      </c>
      <c r="R272">
        <f>SUM(R274:R283)</f>
        <v>65497</v>
      </c>
      <c r="S272" s="7">
        <f>SUM(S274:S283)</f>
        <v>643903828</v>
      </c>
      <c r="T272" s="7">
        <f>9849/3</f>
        <v>3283</v>
      </c>
    </row>
    <row r="273" ht="12.75">
      <c r="P273" t="s">
        <v>28</v>
      </c>
    </row>
    <row r="274" spans="10:20" ht="12.75">
      <c r="J274" s="4">
        <v>0</v>
      </c>
      <c r="K274">
        <v>4</v>
      </c>
      <c r="L274">
        <v>0</v>
      </c>
      <c r="M274">
        <v>0</v>
      </c>
      <c r="N274">
        <f>0/3</f>
        <v>0</v>
      </c>
      <c r="P274" s="4">
        <v>0</v>
      </c>
      <c r="Q274">
        <v>1</v>
      </c>
      <c r="R274">
        <v>0</v>
      </c>
      <c r="S274" s="10">
        <v>0</v>
      </c>
      <c r="T274" s="10">
        <v>0</v>
      </c>
    </row>
    <row r="275" spans="10:20" ht="12.75">
      <c r="J275" s="5" t="s">
        <v>16</v>
      </c>
      <c r="K275">
        <v>8</v>
      </c>
      <c r="L275">
        <v>25</v>
      </c>
      <c r="M275">
        <v>297586</v>
      </c>
      <c r="N275">
        <f>12574/3</f>
        <v>4191.333333333333</v>
      </c>
      <c r="P275" s="5" t="s">
        <v>16</v>
      </c>
      <c r="Q275">
        <v>139</v>
      </c>
      <c r="R275">
        <v>335</v>
      </c>
      <c r="S275">
        <v>4265168</v>
      </c>
      <c r="T275">
        <f>12732/3</f>
        <v>4244</v>
      </c>
    </row>
    <row r="276" spans="10:20" ht="12.75">
      <c r="J276" t="s">
        <v>17</v>
      </c>
      <c r="K276">
        <v>2</v>
      </c>
      <c r="L276">
        <v>14</v>
      </c>
      <c r="M276">
        <v>169528</v>
      </c>
      <c r="N276">
        <f>12404/3</f>
        <v>4134.666666666667</v>
      </c>
      <c r="P276" t="s">
        <v>17</v>
      </c>
      <c r="Q276">
        <v>97</v>
      </c>
      <c r="R276">
        <v>660</v>
      </c>
      <c r="S276">
        <v>7350536</v>
      </c>
      <c r="T276">
        <f>11126/3</f>
        <v>3708.6666666666665</v>
      </c>
    </row>
    <row r="277" spans="10:20" ht="12.75">
      <c r="J277" s="5" t="s">
        <v>61</v>
      </c>
      <c r="K277">
        <v>1</v>
      </c>
      <c r="L277">
        <v>11</v>
      </c>
      <c r="M277">
        <v>123505</v>
      </c>
      <c r="N277">
        <f>11228/3</f>
        <v>3742.6666666666665</v>
      </c>
      <c r="P277" s="5" t="s">
        <v>61</v>
      </c>
      <c r="Q277">
        <v>79</v>
      </c>
      <c r="R277">
        <v>1107</v>
      </c>
      <c r="S277">
        <v>9547963</v>
      </c>
      <c r="T277">
        <f>8643/3</f>
        <v>2881</v>
      </c>
    </row>
    <row r="278" spans="10:20" ht="12.75">
      <c r="J278" t="s">
        <v>18</v>
      </c>
      <c r="K278">
        <v>2</v>
      </c>
      <c r="L278">
        <v>59</v>
      </c>
      <c r="M278">
        <v>850061</v>
      </c>
      <c r="N278">
        <f>14489/3</f>
        <v>4829.666666666667</v>
      </c>
      <c r="P278" t="s">
        <v>18</v>
      </c>
      <c r="Q278">
        <v>120</v>
      </c>
      <c r="R278">
        <v>3657</v>
      </c>
      <c r="S278">
        <v>33903534</v>
      </c>
      <c r="T278">
        <f>9266/3</f>
        <v>3088.6666666666665</v>
      </c>
    </row>
    <row r="279" spans="10:20" ht="12.75">
      <c r="J279" t="s">
        <v>19</v>
      </c>
      <c r="K279">
        <v>2</v>
      </c>
      <c r="L279">
        <v>157</v>
      </c>
      <c r="M279">
        <v>2500649</v>
      </c>
      <c r="N279">
        <f>15500/3</f>
        <v>5166.666666666667</v>
      </c>
      <c r="P279" t="s">
        <v>19</v>
      </c>
      <c r="Q279">
        <v>44</v>
      </c>
      <c r="R279">
        <v>2943</v>
      </c>
      <c r="S279">
        <v>32177026</v>
      </c>
      <c r="T279">
        <f>10907/3</f>
        <v>3635.6666666666665</v>
      </c>
    </row>
    <row r="280" spans="10:20" ht="12.75">
      <c r="J280" t="s">
        <v>20</v>
      </c>
      <c r="K280">
        <v>4</v>
      </c>
      <c r="L280">
        <v>643</v>
      </c>
      <c r="M280">
        <v>9006130</v>
      </c>
      <c r="N280">
        <f>14205/3</f>
        <v>4735</v>
      </c>
      <c r="P280" t="s">
        <v>20</v>
      </c>
      <c r="Q280">
        <v>24</v>
      </c>
      <c r="R280">
        <v>3723</v>
      </c>
      <c r="S280">
        <v>32931987</v>
      </c>
      <c r="T280">
        <f>8876/3</f>
        <v>2958.6666666666665</v>
      </c>
    </row>
    <row r="281" spans="10:20" ht="12.75">
      <c r="J281" t="s">
        <v>21</v>
      </c>
      <c r="K281">
        <v>3</v>
      </c>
      <c r="L281">
        <v>1109</v>
      </c>
      <c r="M281">
        <v>18522808</v>
      </c>
      <c r="N281">
        <f>16757/3</f>
        <v>5585.666666666667</v>
      </c>
      <c r="P281" t="s">
        <v>21</v>
      </c>
      <c r="Q281">
        <v>22</v>
      </c>
      <c r="R281">
        <v>8113</v>
      </c>
      <c r="S281">
        <v>71036394</v>
      </c>
      <c r="T281">
        <f>8787/3</f>
        <v>2929</v>
      </c>
    </row>
    <row r="282" spans="10:20" ht="12.75">
      <c r="J282" t="s">
        <v>23</v>
      </c>
      <c r="K282">
        <v>2</v>
      </c>
      <c r="L282">
        <v>1108</v>
      </c>
      <c r="M282">
        <v>16741217</v>
      </c>
      <c r="N282">
        <f>15055/3</f>
        <v>5018.333333333333</v>
      </c>
      <c r="P282" t="s">
        <v>23</v>
      </c>
      <c r="Q282">
        <v>15</v>
      </c>
      <c r="R282">
        <v>10822</v>
      </c>
      <c r="S282">
        <v>83394314</v>
      </c>
      <c r="T282">
        <f>7726/3</f>
        <v>2575.3333333333335</v>
      </c>
    </row>
    <row r="283" spans="10:20" ht="12.75">
      <c r="J283" t="s">
        <v>24</v>
      </c>
      <c r="K283">
        <v>1</v>
      </c>
      <c r="L283">
        <v>10919</v>
      </c>
      <c r="M283">
        <v>169717271</v>
      </c>
      <c r="N283">
        <f>15529/3</f>
        <v>5176.333333333333</v>
      </c>
      <c r="P283" t="s">
        <v>24</v>
      </c>
      <c r="Q283">
        <v>10</v>
      </c>
      <c r="R283">
        <v>34137</v>
      </c>
      <c r="S283">
        <v>369296906</v>
      </c>
      <c r="T283">
        <f>10837/3</f>
        <v>3612.3333333333335</v>
      </c>
    </row>
    <row r="287" ht="12.75">
      <c r="L287" t="s">
        <v>67</v>
      </c>
    </row>
    <row r="288" spans="13:17" ht="12.75">
      <c r="M288" s="19" t="s">
        <v>69</v>
      </c>
      <c r="N288" s="18"/>
      <c r="O288" s="18"/>
      <c r="P288" s="18"/>
      <c r="Q288" s="18"/>
    </row>
    <row r="292" spans="11:17" ht="12.75">
      <c r="K292" t="s">
        <v>50</v>
      </c>
      <c r="Q292" t="s">
        <v>51</v>
      </c>
    </row>
    <row r="294" spans="13:20" ht="12.75">
      <c r="M294" t="s">
        <v>2</v>
      </c>
      <c r="N294" t="s">
        <v>3</v>
      </c>
      <c r="S294" t="s">
        <v>2</v>
      </c>
      <c r="T294" t="s">
        <v>3</v>
      </c>
    </row>
    <row r="295" spans="10:20" ht="12.75">
      <c r="J295" t="s">
        <v>4</v>
      </c>
      <c r="K295" t="s">
        <v>5</v>
      </c>
      <c r="L295" t="s">
        <v>6</v>
      </c>
      <c r="M295" t="s">
        <v>7</v>
      </c>
      <c r="N295" t="s">
        <v>8</v>
      </c>
      <c r="P295" t="s">
        <v>4</v>
      </c>
      <c r="Q295" t="s">
        <v>5</v>
      </c>
      <c r="R295" t="s">
        <v>6</v>
      </c>
      <c r="S295" t="s">
        <v>7</v>
      </c>
      <c r="T295" t="s">
        <v>8</v>
      </c>
    </row>
    <row r="296" spans="10:20" ht="12.75">
      <c r="J296" t="s">
        <v>9</v>
      </c>
      <c r="K296" t="s">
        <v>10</v>
      </c>
      <c r="L296" t="s">
        <v>11</v>
      </c>
      <c r="M296" t="s">
        <v>12</v>
      </c>
      <c r="N296" t="s">
        <v>13</v>
      </c>
      <c r="P296" t="s">
        <v>9</v>
      </c>
      <c r="Q296" t="s">
        <v>10</v>
      </c>
      <c r="R296" t="s">
        <v>11</v>
      </c>
      <c r="S296" t="s">
        <v>12</v>
      </c>
      <c r="T296" t="s">
        <v>13</v>
      </c>
    </row>
    <row r="299" spans="10:20" ht="12.75">
      <c r="J299" t="s">
        <v>27</v>
      </c>
      <c r="K299">
        <f>SUM(K301:K310)</f>
        <v>58</v>
      </c>
      <c r="L299">
        <f>SUM(L301:L310)</f>
        <v>36083</v>
      </c>
      <c r="M299" s="7">
        <f>SUM(M301:M310)</f>
        <v>326141282</v>
      </c>
      <c r="N299" s="7">
        <f>9092/3</f>
        <v>3030.6666666666665</v>
      </c>
      <c r="P299" t="s">
        <v>27</v>
      </c>
      <c r="Q299">
        <f>SUM(Q301:Q311)</f>
        <v>2615</v>
      </c>
      <c r="R299">
        <f>SUM(R301:R311)</f>
        <v>115436</v>
      </c>
      <c r="S299" s="7">
        <f>SUM(S301:S310)</f>
        <v>916612357</v>
      </c>
      <c r="T299" s="7">
        <f>7964/3</f>
        <v>2654.6666666666665</v>
      </c>
    </row>
    <row r="300" spans="10:16" ht="12.75">
      <c r="J300" t="s">
        <v>28</v>
      </c>
      <c r="P300" t="s">
        <v>28</v>
      </c>
    </row>
    <row r="301" spans="10:20" ht="12.75">
      <c r="J301" s="4">
        <v>0</v>
      </c>
      <c r="K301">
        <v>1</v>
      </c>
      <c r="L301">
        <v>0</v>
      </c>
      <c r="M301" s="10">
        <v>0</v>
      </c>
      <c r="N301">
        <v>0</v>
      </c>
      <c r="P301" t="s">
        <v>15</v>
      </c>
      <c r="Q301">
        <v>35</v>
      </c>
      <c r="R301">
        <v>0</v>
      </c>
      <c r="S301">
        <v>37916</v>
      </c>
      <c r="T301">
        <f>18958/3</f>
        <v>6319.333333333333</v>
      </c>
    </row>
    <row r="302" spans="10:20" ht="12.75">
      <c r="J302" s="5" t="s">
        <v>16</v>
      </c>
      <c r="K302">
        <v>8</v>
      </c>
      <c r="L302">
        <v>18</v>
      </c>
      <c r="M302">
        <v>117818</v>
      </c>
      <c r="N302">
        <f>6545/3</f>
        <v>2181.6666666666665</v>
      </c>
      <c r="P302" t="s">
        <v>16</v>
      </c>
      <c r="Q302">
        <v>408</v>
      </c>
      <c r="R302">
        <v>987</v>
      </c>
      <c r="S302">
        <v>6699912</v>
      </c>
      <c r="T302">
        <f>6777/3</f>
        <v>2259</v>
      </c>
    </row>
    <row r="303" spans="10:20" ht="12.75">
      <c r="J303" t="s">
        <v>17</v>
      </c>
      <c r="K303">
        <v>7</v>
      </c>
      <c r="L303">
        <v>46</v>
      </c>
      <c r="M303">
        <v>445154</v>
      </c>
      <c r="N303" s="11">
        <f>9471/3</f>
        <v>3157</v>
      </c>
      <c r="P303" t="s">
        <v>17</v>
      </c>
      <c r="Q303">
        <v>508</v>
      </c>
      <c r="R303">
        <v>3330</v>
      </c>
      <c r="S303">
        <v>21436086</v>
      </c>
      <c r="T303">
        <f>6467/3</f>
        <v>2155.6666666666665</v>
      </c>
    </row>
    <row r="304" spans="10:20" ht="12.75">
      <c r="J304" s="5" t="s">
        <v>61</v>
      </c>
      <c r="K304">
        <v>4</v>
      </c>
      <c r="L304">
        <v>47</v>
      </c>
      <c r="M304">
        <v>522282</v>
      </c>
      <c r="N304">
        <f>11272/3</f>
        <v>3757.3333333333335</v>
      </c>
      <c r="P304" s="6" t="s">
        <v>61</v>
      </c>
      <c r="Q304">
        <v>337</v>
      </c>
      <c r="R304">
        <v>4648</v>
      </c>
      <c r="S304">
        <v>36769442</v>
      </c>
      <c r="T304">
        <f>7965/3</f>
        <v>2655</v>
      </c>
    </row>
    <row r="305" spans="10:20" ht="12.75">
      <c r="J305" t="s">
        <v>18</v>
      </c>
      <c r="K305">
        <v>8</v>
      </c>
      <c r="L305">
        <v>261</v>
      </c>
      <c r="M305">
        <v>1871291</v>
      </c>
      <c r="N305">
        <f>7206/3</f>
        <v>2402</v>
      </c>
      <c r="P305" t="s">
        <v>18</v>
      </c>
      <c r="Q305">
        <v>499</v>
      </c>
      <c r="R305">
        <v>16367</v>
      </c>
      <c r="S305">
        <v>134290002</v>
      </c>
      <c r="T305">
        <f>8277/3</f>
        <v>2759</v>
      </c>
    </row>
    <row r="306" spans="10:20" ht="12.75">
      <c r="J306" t="s">
        <v>19</v>
      </c>
      <c r="K306">
        <v>2</v>
      </c>
      <c r="L306">
        <v>136</v>
      </c>
      <c r="M306">
        <v>737604</v>
      </c>
      <c r="N306">
        <f>5397/3</f>
        <v>1799</v>
      </c>
      <c r="P306" t="s">
        <v>19</v>
      </c>
      <c r="Q306">
        <v>603</v>
      </c>
      <c r="R306">
        <v>40760</v>
      </c>
      <c r="S306">
        <v>329106040</v>
      </c>
      <c r="T306">
        <f>8093/3</f>
        <v>2697.6666666666665</v>
      </c>
    </row>
    <row r="307" spans="10:20" ht="12.75">
      <c r="J307" t="s">
        <v>20</v>
      </c>
      <c r="K307">
        <v>7</v>
      </c>
      <c r="L307">
        <v>909</v>
      </c>
      <c r="M307">
        <v>3852883</v>
      </c>
      <c r="N307">
        <f>4300/3</f>
        <v>1433.3333333333333</v>
      </c>
      <c r="P307" t="s">
        <v>20</v>
      </c>
      <c r="Q307">
        <v>190</v>
      </c>
      <c r="R307">
        <v>28283</v>
      </c>
      <c r="S307">
        <v>219570426</v>
      </c>
      <c r="T307">
        <f>7787/3</f>
        <v>2595.6666666666665</v>
      </c>
    </row>
    <row r="308" spans="10:20" ht="12.75">
      <c r="J308" t="s">
        <v>21</v>
      </c>
      <c r="K308">
        <v>7</v>
      </c>
      <c r="L308">
        <v>2644</v>
      </c>
      <c r="M308">
        <v>11755136</v>
      </c>
      <c r="N308">
        <f>4496/3</f>
        <v>1498.6666666666667</v>
      </c>
      <c r="P308" t="s">
        <v>21</v>
      </c>
      <c r="Q308">
        <v>24</v>
      </c>
      <c r="R308">
        <v>8652</v>
      </c>
      <c r="S308">
        <v>69742822</v>
      </c>
      <c r="T308">
        <f>8108/3</f>
        <v>2702.6666666666665</v>
      </c>
    </row>
    <row r="309" spans="10:20" ht="12.75">
      <c r="J309" t="s">
        <v>23</v>
      </c>
      <c r="K309">
        <v>7</v>
      </c>
      <c r="L309">
        <v>5196</v>
      </c>
      <c r="M309">
        <v>28186381</v>
      </c>
      <c r="N309">
        <f>5458/3</f>
        <v>1819.3333333333333</v>
      </c>
      <c r="P309" t="s">
        <v>23</v>
      </c>
      <c r="Q309">
        <v>10</v>
      </c>
      <c r="R309">
        <v>6497</v>
      </c>
      <c r="S309">
        <v>49423021</v>
      </c>
      <c r="T309">
        <f>7667/3</f>
        <v>2555.6666666666665</v>
      </c>
    </row>
    <row r="310" spans="10:20" ht="12.75">
      <c r="J310" t="s">
        <v>24</v>
      </c>
      <c r="K310">
        <v>7</v>
      </c>
      <c r="L310">
        <v>26826</v>
      </c>
      <c r="M310">
        <v>278652733</v>
      </c>
      <c r="N310">
        <f>10440/3</f>
        <v>3480</v>
      </c>
      <c r="P310" t="s">
        <v>24</v>
      </c>
      <c r="Q310">
        <v>1</v>
      </c>
      <c r="R310">
        <v>5912</v>
      </c>
      <c r="S310">
        <v>49536690</v>
      </c>
      <c r="T310">
        <f>8204/3</f>
        <v>2734.6666666666665</v>
      </c>
    </row>
    <row r="311" ht="12.75">
      <c r="N311" t="s">
        <v>28</v>
      </c>
    </row>
    <row r="314" spans="11:17" ht="12.75">
      <c r="K314" t="s">
        <v>52</v>
      </c>
      <c r="Q314" t="s">
        <v>53</v>
      </c>
    </row>
    <row r="316" spans="13:20" ht="12.75">
      <c r="M316" t="s">
        <v>2</v>
      </c>
      <c r="N316" t="s">
        <v>3</v>
      </c>
      <c r="S316" t="s">
        <v>2</v>
      </c>
      <c r="T316" t="s">
        <v>3</v>
      </c>
    </row>
    <row r="317" spans="10:20" ht="12.75">
      <c r="J317" t="s">
        <v>4</v>
      </c>
      <c r="K317" t="s">
        <v>5</v>
      </c>
      <c r="L317" t="s">
        <v>6</v>
      </c>
      <c r="M317" t="s">
        <v>7</v>
      </c>
      <c r="N317" t="s">
        <v>8</v>
      </c>
      <c r="P317" t="s">
        <v>4</v>
      </c>
      <c r="Q317" t="s">
        <v>5</v>
      </c>
      <c r="R317" t="s">
        <v>6</v>
      </c>
      <c r="S317" t="s">
        <v>7</v>
      </c>
      <c r="T317" t="s">
        <v>8</v>
      </c>
    </row>
    <row r="318" spans="10:20" ht="12.75">
      <c r="J318" t="s">
        <v>9</v>
      </c>
      <c r="K318" t="s">
        <v>10</v>
      </c>
      <c r="L318" t="s">
        <v>11</v>
      </c>
      <c r="M318" t="s">
        <v>12</v>
      </c>
      <c r="N318" t="s">
        <v>13</v>
      </c>
      <c r="P318" t="s">
        <v>9</v>
      </c>
      <c r="Q318" t="s">
        <v>10</v>
      </c>
      <c r="R318" t="s">
        <v>11</v>
      </c>
      <c r="S318" t="s">
        <v>12</v>
      </c>
      <c r="T318" t="s">
        <v>13</v>
      </c>
    </row>
    <row r="321" spans="10:20" ht="12.75">
      <c r="J321" t="s">
        <v>27</v>
      </c>
      <c r="K321">
        <f>SUM(K323:K331)</f>
        <v>975</v>
      </c>
      <c r="L321">
        <f>SUM(L323:L331)</f>
        <v>67729</v>
      </c>
      <c r="M321" s="7">
        <f>SUM(M323:M331)</f>
        <v>512527383</v>
      </c>
      <c r="N321" s="7">
        <f>7600/3</f>
        <v>2533.3333333333335</v>
      </c>
      <c r="P321" t="s">
        <v>27</v>
      </c>
      <c r="Q321">
        <f>SUM(Q323:Q332)</f>
        <v>79521</v>
      </c>
      <c r="R321">
        <f>SUM(R323:R332)</f>
        <v>979281</v>
      </c>
      <c r="S321" s="7">
        <f>SUM(S323:S332)</f>
        <v>9090658251</v>
      </c>
      <c r="T321" s="7">
        <f>9248/3</f>
        <v>3082.6666666666665</v>
      </c>
    </row>
    <row r="322" spans="10:16" ht="12.75">
      <c r="J322" t="s">
        <v>28</v>
      </c>
      <c r="P322" t="s">
        <v>28</v>
      </c>
    </row>
    <row r="323" spans="10:20" ht="12.75">
      <c r="J323" s="4">
        <v>0</v>
      </c>
      <c r="K323">
        <v>1</v>
      </c>
      <c r="L323">
        <v>0</v>
      </c>
      <c r="M323">
        <v>0</v>
      </c>
      <c r="N323">
        <v>0</v>
      </c>
      <c r="P323" t="s">
        <v>15</v>
      </c>
      <c r="Q323">
        <v>11682</v>
      </c>
      <c r="R323">
        <v>0</v>
      </c>
      <c r="S323">
        <v>43559217</v>
      </c>
      <c r="T323">
        <f>9197/3</f>
        <v>3065.6666666666665</v>
      </c>
    </row>
    <row r="324" spans="10:20" ht="12.75">
      <c r="J324" s="5" t="s">
        <v>16</v>
      </c>
      <c r="K324">
        <v>20</v>
      </c>
      <c r="L324">
        <v>61</v>
      </c>
      <c r="M324">
        <v>402249</v>
      </c>
      <c r="N324">
        <f>6385/3</f>
        <v>2128.3333333333335</v>
      </c>
      <c r="P324" t="s">
        <v>16</v>
      </c>
      <c r="Q324">
        <v>36078</v>
      </c>
      <c r="R324">
        <v>69060</v>
      </c>
      <c r="S324">
        <v>641810976</v>
      </c>
      <c r="T324">
        <f>9280/3</f>
        <v>3093.3333333333335</v>
      </c>
    </row>
    <row r="325" spans="10:20" ht="12.75">
      <c r="J325" t="s">
        <v>17</v>
      </c>
      <c r="K325">
        <v>57</v>
      </c>
      <c r="L325">
        <v>357</v>
      </c>
      <c r="M325">
        <v>1972854</v>
      </c>
      <c r="N325">
        <f>5516/3</f>
        <v>1838.6666666666667</v>
      </c>
      <c r="P325" t="s">
        <v>17</v>
      </c>
      <c r="Q325">
        <v>13184</v>
      </c>
      <c r="R325">
        <v>88221</v>
      </c>
      <c r="S325">
        <v>668712942</v>
      </c>
      <c r="T325">
        <f>7606/3</f>
        <v>2535.3333333333335</v>
      </c>
    </row>
    <row r="326" spans="10:20" ht="12.75">
      <c r="J326" s="5" t="s">
        <v>61</v>
      </c>
      <c r="K326">
        <v>51</v>
      </c>
      <c r="L326">
        <v>736</v>
      </c>
      <c r="M326">
        <v>5299046</v>
      </c>
      <c r="N326">
        <f>7206/3</f>
        <v>2402</v>
      </c>
      <c r="P326" s="5" t="s">
        <v>61</v>
      </c>
      <c r="Q326">
        <v>9318</v>
      </c>
      <c r="R326">
        <v>126126</v>
      </c>
      <c r="S326">
        <v>934308789</v>
      </c>
      <c r="T326">
        <f>7456/3</f>
        <v>2485.3333333333335</v>
      </c>
    </row>
    <row r="327" spans="10:20" ht="12.75">
      <c r="J327" t="s">
        <v>18</v>
      </c>
      <c r="K327">
        <v>205</v>
      </c>
      <c r="L327">
        <v>7447</v>
      </c>
      <c r="M327">
        <v>58958098</v>
      </c>
      <c r="N327">
        <f>7956/3</f>
        <v>2652</v>
      </c>
      <c r="P327" t="s">
        <v>18</v>
      </c>
      <c r="Q327">
        <v>5950</v>
      </c>
      <c r="R327">
        <v>177756</v>
      </c>
      <c r="S327">
        <v>1482315764</v>
      </c>
      <c r="T327">
        <f>8367/3</f>
        <v>2789</v>
      </c>
    </row>
    <row r="328" spans="10:20" ht="12.75">
      <c r="J328" t="s">
        <v>19</v>
      </c>
      <c r="K328">
        <v>502</v>
      </c>
      <c r="L328">
        <v>33863</v>
      </c>
      <c r="M328">
        <v>267147305</v>
      </c>
      <c r="N328">
        <f>7908/3</f>
        <v>2636</v>
      </c>
      <c r="P328" t="s">
        <v>19</v>
      </c>
      <c r="Q328">
        <v>1962</v>
      </c>
      <c r="R328">
        <v>134684</v>
      </c>
      <c r="S328">
        <v>1268301304</v>
      </c>
      <c r="T328">
        <f>9454/3</f>
        <v>3151.3333333333335</v>
      </c>
    </row>
    <row r="329" spans="10:20" ht="12.75">
      <c r="J329" t="s">
        <v>20</v>
      </c>
      <c r="K329">
        <v>123</v>
      </c>
      <c r="L329">
        <v>18015</v>
      </c>
      <c r="M329">
        <v>139081339</v>
      </c>
      <c r="N329">
        <f>7766/3</f>
        <v>2588.6666666666665</v>
      </c>
      <c r="P329" t="s">
        <v>20</v>
      </c>
      <c r="Q329">
        <v>957</v>
      </c>
      <c r="R329">
        <v>141755</v>
      </c>
      <c r="S329">
        <v>1430607326</v>
      </c>
      <c r="T329">
        <f>10073/3</f>
        <v>3357.6666666666665</v>
      </c>
    </row>
    <row r="330" spans="10:20" ht="12.75">
      <c r="J330" t="s">
        <v>21</v>
      </c>
      <c r="K330">
        <v>10</v>
      </c>
      <c r="L330">
        <v>3306</v>
      </c>
      <c r="M330">
        <v>20456377</v>
      </c>
      <c r="N330">
        <f>6228/3</f>
        <v>2076</v>
      </c>
      <c r="P330" t="s">
        <v>21</v>
      </c>
      <c r="Q330">
        <v>260</v>
      </c>
      <c r="R330">
        <v>90166</v>
      </c>
      <c r="S330">
        <v>960744632</v>
      </c>
      <c r="T330">
        <f>10626/3</f>
        <v>3542</v>
      </c>
    </row>
    <row r="331" spans="10:20" ht="12.75">
      <c r="J331" t="s">
        <v>31</v>
      </c>
      <c r="K331">
        <v>6</v>
      </c>
      <c r="L331">
        <v>3944</v>
      </c>
      <c r="M331">
        <v>19210115</v>
      </c>
      <c r="N331">
        <f>4935/3</f>
        <v>1645</v>
      </c>
      <c r="P331" t="s">
        <v>23</v>
      </c>
      <c r="Q331">
        <v>87</v>
      </c>
      <c r="R331">
        <v>57991</v>
      </c>
      <c r="S331">
        <v>703297618</v>
      </c>
      <c r="T331">
        <f>12105/3</f>
        <v>4035</v>
      </c>
    </row>
    <row r="332" spans="16:20" ht="12.75">
      <c r="P332" t="s">
        <v>24</v>
      </c>
      <c r="Q332">
        <v>43</v>
      </c>
      <c r="R332">
        <v>93522</v>
      </c>
      <c r="S332">
        <v>956999683</v>
      </c>
      <c r="T332">
        <f>10175/3</f>
        <v>3391.6666666666665</v>
      </c>
    </row>
    <row r="335" spans="10:18" ht="12.75">
      <c r="J335" s="18" t="s">
        <v>70</v>
      </c>
      <c r="K335" s="18"/>
      <c r="L335" s="18"/>
      <c r="M335" s="18"/>
      <c r="N335" s="18"/>
      <c r="O335" s="18"/>
      <c r="P335" s="18"/>
      <c r="Q335" s="18"/>
      <c r="R335" s="18"/>
    </row>
    <row r="339" ht="12.75">
      <c r="D339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88" ht="12.75">
      <c r="D388" s="1"/>
    </row>
    <row r="437" ht="12.75">
      <c r="D437" s="1"/>
    </row>
    <row r="447" spans="1:11" ht="12.7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</row>
    <row r="454" spans="1:2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67" spans="16:21" ht="12.75">
      <c r="P467">
        <f>+P468+P469+P470+P471+P472+P473+P474+P475+P476+P477</f>
        <v>18442</v>
      </c>
      <c r="Q467">
        <f>+Q468+Q469+Q470+Q471+Q472+Q473+Q474+Q475+Q476+Q477</f>
        <v>259861</v>
      </c>
      <c r="R467">
        <f>+R468+R469+R470+R471+R472+R473+R474+R475+R476+R477</f>
        <v>262970</v>
      </c>
      <c r="S467">
        <f>+S468+S469+S470+S471+S472+S473+S474+S475+S476+S477</f>
        <v>266341</v>
      </c>
      <c r="T467">
        <f>+T468+T469+T470+T471+T472+T473+T474+T475+T476+T477</f>
        <v>1462197844</v>
      </c>
      <c r="U467">
        <f aca="true" t="shared" si="0" ref="U467:U477">+T467/(Q467+R467+S467)</f>
        <v>1852.8252953728718</v>
      </c>
    </row>
    <row r="468" spans="1:21" ht="12.7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>
        <v>0</v>
      </c>
      <c r="P468" s="1">
        <f>2004+22</f>
        <v>2026</v>
      </c>
      <c r="Q468" s="1">
        <f>1472+5</f>
        <v>1477</v>
      </c>
      <c r="R468" s="1">
        <f>662+4</f>
        <v>666</v>
      </c>
      <c r="S468" s="1">
        <v>0</v>
      </c>
      <c r="T468" s="1">
        <v>4123697</v>
      </c>
      <c r="U468" s="1">
        <f t="shared" si="0"/>
        <v>1924.2636490900607</v>
      </c>
    </row>
    <row r="469" spans="15:21" ht="12.75">
      <c r="O469">
        <v>1</v>
      </c>
      <c r="P469">
        <f>8191+35</f>
        <v>8226</v>
      </c>
      <c r="Q469">
        <f>16684+50</f>
        <v>16734</v>
      </c>
      <c r="R469">
        <f>53+16954</f>
        <v>17007</v>
      </c>
      <c r="S469">
        <f>53+17195</f>
        <v>17248</v>
      </c>
      <c r="T469">
        <v>104604948</v>
      </c>
      <c r="U469">
        <f t="shared" si="0"/>
        <v>2051.5198964482533</v>
      </c>
    </row>
    <row r="470" spans="1:2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>
        <v>2</v>
      </c>
      <c r="P470" s="1">
        <f>3749+2</f>
        <v>3751</v>
      </c>
      <c r="Q470" s="1">
        <f>23377+11</f>
        <v>23388</v>
      </c>
      <c r="R470" s="1">
        <f>24069+12</f>
        <v>24081</v>
      </c>
      <c r="S470" s="1">
        <f>24779+12</f>
        <v>24791</v>
      </c>
      <c r="T470" s="1">
        <v>119209982</v>
      </c>
      <c r="U470" s="1">
        <f t="shared" si="0"/>
        <v>1649.7368115139773</v>
      </c>
      <c r="V470" s="1"/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>
        <v>3</v>
      </c>
      <c r="P471" s="1">
        <f>2231+1</f>
        <v>2232</v>
      </c>
      <c r="Q471" s="1">
        <f>10+28450</f>
        <v>28460</v>
      </c>
      <c r="R471" s="1">
        <f>10+29055</f>
        <v>29065</v>
      </c>
      <c r="S471" s="1">
        <f>11+29735</f>
        <v>29746</v>
      </c>
      <c r="T471" s="1">
        <f>151544552+296489</f>
        <v>151841041</v>
      </c>
      <c r="U471" s="1">
        <f t="shared" si="0"/>
        <v>1739.879696577328</v>
      </c>
      <c r="V471" s="1"/>
    </row>
    <row r="472" spans="1:2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>
        <v>4</v>
      </c>
      <c r="P472" s="1">
        <v>1413</v>
      </c>
      <c r="Q472" s="1">
        <v>40150</v>
      </c>
      <c r="R472" s="1">
        <v>41073</v>
      </c>
      <c r="S472" s="1">
        <v>42250</v>
      </c>
      <c r="T472" s="1">
        <v>227380711</v>
      </c>
      <c r="U472" s="1">
        <f t="shared" si="0"/>
        <v>1841.5419646400428</v>
      </c>
      <c r="V472" s="1">
        <f>+U472/(R472+S472+T472)</f>
        <v>8.095969865020695E-06</v>
      </c>
    </row>
    <row r="473" spans="1:2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>
        <v>5</v>
      </c>
      <c r="P473" s="1">
        <v>422</v>
      </c>
      <c r="Q473" s="1">
        <v>28400</v>
      </c>
      <c r="R473" s="1">
        <v>28713</v>
      </c>
      <c r="S473" s="1">
        <v>29201</v>
      </c>
      <c r="T473" s="1">
        <v>158029792</v>
      </c>
      <c r="U473" s="1">
        <f t="shared" si="0"/>
        <v>1830.8709131774683</v>
      </c>
      <c r="V473" s="1"/>
    </row>
    <row r="474" spans="1:2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>
        <v>6</v>
      </c>
      <c r="P474" s="1">
        <v>266</v>
      </c>
      <c r="Q474" s="1">
        <v>38597</v>
      </c>
      <c r="R474" s="1">
        <v>39471</v>
      </c>
      <c r="S474" s="1">
        <v>40102</v>
      </c>
      <c r="T474" s="1">
        <v>226479352</v>
      </c>
      <c r="U474" s="1">
        <f t="shared" si="0"/>
        <v>1916.5554032326309</v>
      </c>
      <c r="V474" s="1"/>
    </row>
    <row r="475" spans="1:2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>
        <v>7</v>
      </c>
      <c r="P475" s="1">
        <v>63</v>
      </c>
      <c r="Q475" s="1">
        <v>22315</v>
      </c>
      <c r="R475" s="1">
        <v>21863</v>
      </c>
      <c r="S475" s="1">
        <v>21748</v>
      </c>
      <c r="T475" s="1">
        <v>120411735</v>
      </c>
      <c r="U475" s="1">
        <f t="shared" si="0"/>
        <v>1826.4680854291175</v>
      </c>
      <c r="V475" s="1"/>
    </row>
    <row r="476" spans="1:2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>
        <v>8</v>
      </c>
      <c r="P476" s="1">
        <v>27</v>
      </c>
      <c r="Q476" s="1">
        <v>18056</v>
      </c>
      <c r="R476" s="1">
        <v>18269</v>
      </c>
      <c r="S476" s="1">
        <v>18627</v>
      </c>
      <c r="T476" s="1">
        <v>105653226</v>
      </c>
      <c r="U476" s="1">
        <f t="shared" si="0"/>
        <v>1922.6456907846848</v>
      </c>
      <c r="V476" s="1"/>
    </row>
    <row r="477" spans="1:2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>
        <v>9</v>
      </c>
      <c r="P477" s="1">
        <v>16</v>
      </c>
      <c r="Q477" s="1">
        <v>42284</v>
      </c>
      <c r="R477" s="1">
        <v>42762</v>
      </c>
      <c r="S477" s="1">
        <v>42628</v>
      </c>
      <c r="T477" s="1">
        <v>244463360</v>
      </c>
      <c r="U477" s="1">
        <f t="shared" si="0"/>
        <v>1914.746620298573</v>
      </c>
      <c r="V477" s="1"/>
    </row>
    <row r="478" spans="1:2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5" ht="12.75">
      <c r="D485" s="1"/>
    </row>
    <row r="534" ht="12.75">
      <c r="D534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</row>
    <row r="583" ht="12.75">
      <c r="D583" s="1"/>
    </row>
    <row r="632" ht="12.75">
      <c r="D632" s="1"/>
    </row>
    <row r="638" ht="12.75">
      <c r="Q638" t="s">
        <v>54</v>
      </c>
    </row>
    <row r="641" spans="17:22" ht="12.75">
      <c r="Q641">
        <f>Q643+Q644+Q645+Q646+Q647+Q650</f>
        <v>93</v>
      </c>
      <c r="R641">
        <f>R643+R644+R645+R646+R647+R650</f>
        <v>303</v>
      </c>
      <c r="S641">
        <f>S643+S644+S645+S646+S647+S650</f>
        <v>290</v>
      </c>
      <c r="T641">
        <f>T643+T644+T645+T646+T647+T650</f>
        <v>305</v>
      </c>
      <c r="U641">
        <f>U643+U644+U645+U646+U647+U650</f>
        <v>2458043</v>
      </c>
      <c r="V641">
        <f>(+U641/(T641+S641+R641))</f>
        <v>2737.2416481069044</v>
      </c>
    </row>
    <row r="643" spans="1:2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>
        <v>0</v>
      </c>
      <c r="Q643" s="1">
        <v>17</v>
      </c>
      <c r="R643" s="1">
        <v>4</v>
      </c>
      <c r="S643" s="1">
        <v>1</v>
      </c>
      <c r="T643" s="1">
        <v>0</v>
      </c>
      <c r="U643" s="1">
        <v>2799</v>
      </c>
      <c r="V643">
        <f>(+U643/(T643+S643+R643))</f>
        <v>559.8</v>
      </c>
    </row>
    <row r="644" spans="16:22" ht="12.75">
      <c r="P644">
        <v>1</v>
      </c>
      <c r="Q644">
        <v>58</v>
      </c>
      <c r="R644">
        <v>89</v>
      </c>
      <c r="S644">
        <v>85</v>
      </c>
      <c r="T644">
        <v>91</v>
      </c>
      <c r="U644">
        <v>718548</v>
      </c>
      <c r="V644">
        <f>(+U644/(T644+S644+R644))</f>
        <v>2711.5018867924528</v>
      </c>
    </row>
    <row r="645" spans="16:22" ht="12.75">
      <c r="P645">
        <v>2</v>
      </c>
      <c r="Q645">
        <v>10</v>
      </c>
      <c r="R645">
        <v>65</v>
      </c>
      <c r="S645">
        <v>60</v>
      </c>
      <c r="T645">
        <v>62</v>
      </c>
      <c r="U645">
        <v>341045</v>
      </c>
      <c r="V645">
        <f>(+U645/(T645+S645+R645))</f>
        <v>1823.7700534759358</v>
      </c>
    </row>
    <row r="646" spans="16:22" ht="12.75">
      <c r="P646">
        <v>3</v>
      </c>
      <c r="Q646">
        <v>5</v>
      </c>
      <c r="R646">
        <v>74</v>
      </c>
      <c r="S646">
        <v>71</v>
      </c>
      <c r="T646">
        <v>76</v>
      </c>
      <c r="U646">
        <v>697166</v>
      </c>
      <c r="V646">
        <f>(+U646/(T646+S646+R646))</f>
        <v>3154.597285067873</v>
      </c>
    </row>
    <row r="647" spans="16:22" ht="12.75">
      <c r="P647">
        <v>4</v>
      </c>
      <c r="Q647">
        <v>3</v>
      </c>
      <c r="R647">
        <v>71</v>
      </c>
      <c r="S647">
        <v>73</v>
      </c>
      <c r="T647">
        <v>76</v>
      </c>
      <c r="U647">
        <v>698485</v>
      </c>
      <c r="V647">
        <f>(+U647/(T647+S647+R647))</f>
        <v>3174.931818181818</v>
      </c>
    </row>
    <row r="648" ht="12.75">
      <c r="P648">
        <v>5</v>
      </c>
    </row>
    <row r="649" ht="12.75">
      <c r="P649">
        <v>6</v>
      </c>
    </row>
    <row r="650" ht="12.75">
      <c r="P650">
        <v>7</v>
      </c>
    </row>
    <row r="651" ht="12.75">
      <c r="P651">
        <v>8</v>
      </c>
    </row>
    <row r="652" ht="12.75">
      <c r="P652">
        <v>9</v>
      </c>
    </row>
    <row r="653" ht="12.75">
      <c r="Q653" t="s">
        <v>55</v>
      </c>
    </row>
    <row r="654" spans="17:22" ht="12.75">
      <c r="Q654">
        <f>SUM(Q655:Q664)</f>
        <v>654</v>
      </c>
      <c r="R654">
        <f>SUM(R655:R664)</f>
        <v>11957</v>
      </c>
      <c r="S654">
        <f>SUM(S655:S664)</f>
        <v>11952</v>
      </c>
      <c r="T654">
        <f>SUM(T655:T664)</f>
        <v>11967</v>
      </c>
      <c r="U654">
        <f>SUM(U655:U664)</f>
        <v>64399948</v>
      </c>
      <c r="V654">
        <f aca="true" t="shared" si="1" ref="V654:V664">(+U654/(T654+S654+R654))</f>
        <v>1795.0704649347754</v>
      </c>
    </row>
    <row r="655" spans="16:22" ht="12.75">
      <c r="P655">
        <v>0</v>
      </c>
      <c r="Q655">
        <v>35</v>
      </c>
      <c r="R655">
        <v>40</v>
      </c>
      <c r="S655">
        <v>19</v>
      </c>
      <c r="T655">
        <v>0</v>
      </c>
      <c r="U655">
        <v>119213</v>
      </c>
      <c r="V655">
        <f t="shared" si="1"/>
        <v>2020.5593220338983</v>
      </c>
    </row>
    <row r="656" spans="16:22" ht="12.75">
      <c r="P656">
        <v>1</v>
      </c>
      <c r="Q656">
        <v>325</v>
      </c>
      <c r="R656">
        <v>698</v>
      </c>
      <c r="S656">
        <v>682</v>
      </c>
      <c r="T656">
        <v>689</v>
      </c>
      <c r="U656">
        <v>3556163</v>
      </c>
      <c r="V656">
        <f t="shared" si="1"/>
        <v>1718.7834702754953</v>
      </c>
    </row>
    <row r="657" spans="16:22" ht="12.75">
      <c r="P657">
        <v>2</v>
      </c>
      <c r="Q657">
        <v>151</v>
      </c>
      <c r="R657">
        <v>948</v>
      </c>
      <c r="S657">
        <v>956</v>
      </c>
      <c r="T657">
        <v>979</v>
      </c>
      <c r="U657">
        <v>4768886</v>
      </c>
      <c r="V657">
        <f t="shared" si="1"/>
        <v>1654.1401318071453</v>
      </c>
    </row>
    <row r="658" spans="16:22" ht="12.75">
      <c r="P658">
        <v>3</v>
      </c>
      <c r="Q658">
        <v>65</v>
      </c>
      <c r="R658">
        <v>876</v>
      </c>
      <c r="S658">
        <v>858</v>
      </c>
      <c r="T658">
        <v>879</v>
      </c>
      <c r="U658">
        <v>3460240</v>
      </c>
      <c r="V658">
        <f t="shared" si="1"/>
        <v>1324.24033677765</v>
      </c>
    </row>
    <row r="659" spans="16:22" ht="12.75">
      <c r="P659">
        <v>4</v>
      </c>
      <c r="Q659">
        <v>45</v>
      </c>
      <c r="R659">
        <v>1308</v>
      </c>
      <c r="S659">
        <v>1319</v>
      </c>
      <c r="T659">
        <v>1311</v>
      </c>
      <c r="U659">
        <v>6770873</v>
      </c>
      <c r="V659">
        <f t="shared" si="1"/>
        <v>1719.3684611477909</v>
      </c>
    </row>
    <row r="660" spans="16:22" ht="12.75">
      <c r="P660">
        <v>5</v>
      </c>
      <c r="Q660">
        <v>17</v>
      </c>
      <c r="R660">
        <v>1245</v>
      </c>
      <c r="S660">
        <v>1273</v>
      </c>
      <c r="T660">
        <v>1257</v>
      </c>
      <c r="U660">
        <v>7122217</v>
      </c>
      <c r="V660">
        <f t="shared" si="1"/>
        <v>1886.68</v>
      </c>
    </row>
    <row r="661" spans="16:22" ht="12.75">
      <c r="P661">
        <v>6</v>
      </c>
      <c r="Q661">
        <v>6</v>
      </c>
      <c r="R661">
        <v>956</v>
      </c>
      <c r="S661">
        <v>955</v>
      </c>
      <c r="T661">
        <v>959</v>
      </c>
      <c r="U661">
        <v>4871441</v>
      </c>
      <c r="V661">
        <f t="shared" si="1"/>
        <v>1697.3662020905924</v>
      </c>
    </row>
    <row r="662" spans="16:22" ht="12.75">
      <c r="P662">
        <v>7</v>
      </c>
      <c r="Q662">
        <v>7</v>
      </c>
      <c r="R662">
        <v>2456</v>
      </c>
      <c r="S662">
        <v>2469</v>
      </c>
      <c r="T662">
        <v>2453</v>
      </c>
      <c r="U662">
        <v>13141755</v>
      </c>
      <c r="V662">
        <f t="shared" si="1"/>
        <v>1781.2083220384927</v>
      </c>
    </row>
    <row r="663" spans="16:22" ht="12.75">
      <c r="P663">
        <v>8</v>
      </c>
      <c r="Q663">
        <v>2</v>
      </c>
      <c r="R663">
        <v>1627</v>
      </c>
      <c r="S663">
        <v>1623</v>
      </c>
      <c r="T663">
        <v>1632</v>
      </c>
      <c r="U663">
        <v>9703593</v>
      </c>
      <c r="V663">
        <f t="shared" si="1"/>
        <v>1987.626587464154</v>
      </c>
    </row>
    <row r="664" spans="16:22" ht="12.75">
      <c r="P664">
        <v>9</v>
      </c>
      <c r="Q664">
        <v>1</v>
      </c>
      <c r="R664">
        <v>1803</v>
      </c>
      <c r="S664">
        <v>1798</v>
      </c>
      <c r="T664">
        <v>1808</v>
      </c>
      <c r="U664">
        <v>10885567</v>
      </c>
      <c r="V664">
        <f t="shared" si="1"/>
        <v>2012.4915880939175</v>
      </c>
    </row>
    <row r="666" ht="12.75">
      <c r="Q666" t="s">
        <v>56</v>
      </c>
    </row>
    <row r="668" spans="17:22" ht="12.75">
      <c r="Q668">
        <f>SUM(Q669:Q673)</f>
        <v>64</v>
      </c>
      <c r="R668">
        <f>SUM(R669:R673)</f>
        <v>90</v>
      </c>
      <c r="S668">
        <f>SUM(S669:S673)</f>
        <v>92</v>
      </c>
      <c r="T668">
        <f>SUM(T669:T673)</f>
        <v>85</v>
      </c>
      <c r="U668">
        <f>SUM(U669:U673)</f>
        <v>1876202</v>
      </c>
      <c r="V668">
        <f>(+U668/(T668+S668+R668))</f>
        <v>7026.973782771535</v>
      </c>
    </row>
    <row r="669" spans="16:22" ht="12.75">
      <c r="P669">
        <v>0</v>
      </c>
      <c r="Q669">
        <v>16</v>
      </c>
      <c r="R669">
        <v>5</v>
      </c>
      <c r="S669">
        <v>4</v>
      </c>
      <c r="T669">
        <v>0</v>
      </c>
      <c r="U669">
        <v>34309</v>
      </c>
      <c r="V669">
        <f>(+U669/(T669+S669+R669))</f>
        <v>3812.1111111111113</v>
      </c>
    </row>
    <row r="670" spans="16:22" ht="12.75">
      <c r="P670">
        <v>1</v>
      </c>
      <c r="Q670">
        <v>43</v>
      </c>
      <c r="R670">
        <v>52</v>
      </c>
      <c r="S670">
        <v>55</v>
      </c>
      <c r="T670">
        <v>53</v>
      </c>
      <c r="U670">
        <v>1511964</v>
      </c>
      <c r="V670">
        <f>(+U670/(T670+S670+R670))</f>
        <v>9449.775</v>
      </c>
    </row>
    <row r="671" spans="16:22" ht="12.75">
      <c r="P671">
        <v>2</v>
      </c>
      <c r="Q671">
        <v>4</v>
      </c>
      <c r="R671">
        <v>23</v>
      </c>
      <c r="S671">
        <v>23</v>
      </c>
      <c r="T671">
        <v>22</v>
      </c>
      <c r="U671">
        <v>170151</v>
      </c>
      <c r="V671">
        <f>(+U671/(T671+S671+R671))</f>
        <v>2502.220588235294</v>
      </c>
    </row>
    <row r="672" spans="16:22" ht="12.75">
      <c r="P672">
        <v>3</v>
      </c>
      <c r="Q672">
        <v>1</v>
      </c>
      <c r="R672">
        <v>10</v>
      </c>
      <c r="S672">
        <v>10</v>
      </c>
      <c r="T672">
        <v>10</v>
      </c>
      <c r="U672">
        <v>159778</v>
      </c>
      <c r="V672">
        <f>(+U672/(T672+S672+R672))</f>
        <v>5325.933333333333</v>
      </c>
    </row>
    <row r="673" ht="12.75">
      <c r="P673">
        <v>4</v>
      </c>
    </row>
    <row r="676" ht="12.75">
      <c r="Q676" t="s">
        <v>57</v>
      </c>
    </row>
    <row r="677" spans="16:22" ht="12.75">
      <c r="P677">
        <v>0</v>
      </c>
      <c r="Q677">
        <f aca="true" t="shared" si="2" ref="Q677:S678">Q669+Q655+Q643</f>
        <v>68</v>
      </c>
      <c r="R677">
        <f t="shared" si="2"/>
        <v>49</v>
      </c>
      <c r="S677">
        <f t="shared" si="2"/>
        <v>24</v>
      </c>
      <c r="T677">
        <f aca="true" t="shared" si="3" ref="T677:T685">T643+T655+T669</f>
        <v>0</v>
      </c>
      <c r="U677">
        <f>U669+U655+U643</f>
        <v>156321</v>
      </c>
      <c r="V677">
        <f aca="true" t="shared" si="4" ref="V677:V688">(+U677/(T677+S677+R677))</f>
        <v>2141.3835616438355</v>
      </c>
    </row>
    <row r="678" spans="16:22" ht="12.75">
      <c r="P678">
        <v>1</v>
      </c>
      <c r="Q678">
        <f t="shared" si="2"/>
        <v>426</v>
      </c>
      <c r="R678">
        <f t="shared" si="2"/>
        <v>839</v>
      </c>
      <c r="S678">
        <f t="shared" si="2"/>
        <v>822</v>
      </c>
      <c r="T678">
        <f t="shared" si="3"/>
        <v>833</v>
      </c>
      <c r="U678">
        <f>U670+U656+U644</f>
        <v>5786675</v>
      </c>
      <c r="V678">
        <f t="shared" si="4"/>
        <v>2320.238572574178</v>
      </c>
    </row>
    <row r="679" spans="16:22" ht="12.75">
      <c r="P679">
        <v>2</v>
      </c>
      <c r="Q679">
        <f aca="true" t="shared" si="5" ref="Q679:S681">Q657+Q645+Q671</f>
        <v>165</v>
      </c>
      <c r="R679">
        <f t="shared" si="5"/>
        <v>1036</v>
      </c>
      <c r="S679">
        <f t="shared" si="5"/>
        <v>1039</v>
      </c>
      <c r="T679">
        <f t="shared" si="3"/>
        <v>1063</v>
      </c>
      <c r="U679">
        <f>U657+U645+U671</f>
        <v>5280082</v>
      </c>
      <c r="V679">
        <f t="shared" si="4"/>
        <v>1682.6265137029955</v>
      </c>
    </row>
    <row r="680" spans="16:22" ht="12.75">
      <c r="P680">
        <v>3</v>
      </c>
      <c r="Q680">
        <f t="shared" si="5"/>
        <v>71</v>
      </c>
      <c r="R680">
        <f t="shared" si="5"/>
        <v>960</v>
      </c>
      <c r="S680">
        <f t="shared" si="5"/>
        <v>939</v>
      </c>
      <c r="T680">
        <f t="shared" si="3"/>
        <v>965</v>
      </c>
      <c r="U680">
        <f>U658+U646+U672</f>
        <v>4317184</v>
      </c>
      <c r="V680">
        <f t="shared" si="4"/>
        <v>1507.3966480446927</v>
      </c>
    </row>
    <row r="681" spans="16:22" ht="12.75">
      <c r="P681">
        <v>4</v>
      </c>
      <c r="Q681">
        <f t="shared" si="5"/>
        <v>48</v>
      </c>
      <c r="R681">
        <f t="shared" si="5"/>
        <v>1379</v>
      </c>
      <c r="S681">
        <f t="shared" si="5"/>
        <v>1392</v>
      </c>
      <c r="T681">
        <f t="shared" si="3"/>
        <v>1387</v>
      </c>
      <c r="U681">
        <f>U659+U647+U673</f>
        <v>7469358</v>
      </c>
      <c r="V681">
        <f t="shared" si="4"/>
        <v>1796.3823953823953</v>
      </c>
    </row>
    <row r="682" spans="16:22" ht="12.75">
      <c r="P682">
        <v>5</v>
      </c>
      <c r="Q682">
        <f aca="true" t="shared" si="6" ref="Q682:S686">Q660+Q648</f>
        <v>17</v>
      </c>
      <c r="R682">
        <f t="shared" si="6"/>
        <v>1245</v>
      </c>
      <c r="S682">
        <f t="shared" si="6"/>
        <v>1273</v>
      </c>
      <c r="T682">
        <f t="shared" si="3"/>
        <v>1257</v>
      </c>
      <c r="U682">
        <f>U660+U648</f>
        <v>7122217</v>
      </c>
      <c r="V682">
        <f t="shared" si="4"/>
        <v>1886.68</v>
      </c>
    </row>
    <row r="683" spans="16:22" ht="12.75">
      <c r="P683">
        <v>6</v>
      </c>
      <c r="Q683">
        <f t="shared" si="6"/>
        <v>6</v>
      </c>
      <c r="R683">
        <f t="shared" si="6"/>
        <v>956</v>
      </c>
      <c r="S683">
        <f t="shared" si="6"/>
        <v>955</v>
      </c>
      <c r="T683">
        <f t="shared" si="3"/>
        <v>959</v>
      </c>
      <c r="U683">
        <f>U661+U649</f>
        <v>4871441</v>
      </c>
      <c r="V683">
        <f t="shared" si="4"/>
        <v>1697.3662020905924</v>
      </c>
    </row>
    <row r="684" spans="4:22" ht="12.75">
      <c r="D684" s="1"/>
      <c r="P684">
        <v>7</v>
      </c>
      <c r="Q684">
        <f t="shared" si="6"/>
        <v>7</v>
      </c>
      <c r="R684">
        <f t="shared" si="6"/>
        <v>2456</v>
      </c>
      <c r="S684">
        <f t="shared" si="6"/>
        <v>2469</v>
      </c>
      <c r="T684">
        <f t="shared" si="3"/>
        <v>2453</v>
      </c>
      <c r="U684">
        <f>U662+U650</f>
        <v>13141755</v>
      </c>
      <c r="V684">
        <f t="shared" si="4"/>
        <v>1781.2083220384927</v>
      </c>
    </row>
    <row r="685" spans="16:22" ht="12.75">
      <c r="P685">
        <v>8</v>
      </c>
      <c r="Q685">
        <f t="shared" si="6"/>
        <v>2</v>
      </c>
      <c r="R685">
        <f t="shared" si="6"/>
        <v>1627</v>
      </c>
      <c r="S685">
        <f t="shared" si="6"/>
        <v>1623</v>
      </c>
      <c r="T685">
        <f t="shared" si="3"/>
        <v>1632</v>
      </c>
      <c r="U685">
        <f>U663+U651</f>
        <v>9703593</v>
      </c>
      <c r="V685">
        <f t="shared" si="4"/>
        <v>1987.626587464154</v>
      </c>
    </row>
    <row r="686" spans="16:22" ht="12.75">
      <c r="P686">
        <v>9</v>
      </c>
      <c r="Q686">
        <f t="shared" si="6"/>
        <v>1</v>
      </c>
      <c r="R686">
        <f t="shared" si="6"/>
        <v>1803</v>
      </c>
      <c r="S686">
        <f t="shared" si="6"/>
        <v>1798</v>
      </c>
      <c r="T686">
        <f>T652+T664</f>
        <v>1808</v>
      </c>
      <c r="U686">
        <f>U664+U652</f>
        <v>10885567</v>
      </c>
      <c r="V686">
        <f t="shared" si="4"/>
        <v>2012.4915880939175</v>
      </c>
    </row>
    <row r="687" spans="17:22" ht="12.75">
      <c r="Q687">
        <f>Q686+Q685</f>
        <v>3</v>
      </c>
      <c r="R687">
        <f>R686+R685</f>
        <v>3430</v>
      </c>
      <c r="S687">
        <f>S686+S685</f>
        <v>3421</v>
      </c>
      <c r="T687">
        <f>T686+T685</f>
        <v>3440</v>
      </c>
      <c r="U687">
        <f>U686+U685</f>
        <v>20589160</v>
      </c>
      <c r="V687">
        <f t="shared" si="4"/>
        <v>2000.6957535710815</v>
      </c>
    </row>
    <row r="688" spans="17:22" ht="12.75">
      <c r="Q688">
        <f>SUM(Q677:Q686)</f>
        <v>811</v>
      </c>
      <c r="R688">
        <f>SUM(R677:R686)</f>
        <v>12350</v>
      </c>
      <c r="S688">
        <f>SUM(S677:S686)</f>
        <v>12334</v>
      </c>
      <c r="T688">
        <f>SUM(T677:T686)</f>
        <v>12357</v>
      </c>
      <c r="U688">
        <f>SUM(U677:U686)</f>
        <v>68734193</v>
      </c>
      <c r="V688">
        <f t="shared" si="4"/>
        <v>1855.6246591614697</v>
      </c>
    </row>
    <row r="695" spans="1:10" ht="12.75">
      <c r="A695" s="1"/>
      <c r="B695" s="1"/>
      <c r="C695" s="1"/>
      <c r="D695" s="1"/>
      <c r="E695" s="2"/>
      <c r="F695" s="1"/>
      <c r="G695" s="1"/>
      <c r="H695" s="1"/>
      <c r="I695" s="1"/>
      <c r="J695" s="1"/>
    </row>
    <row r="716" ht="12.75">
      <c r="F716" s="1"/>
    </row>
    <row r="717" spans="1:11" ht="12.75">
      <c r="A717" s="1"/>
      <c r="B717" s="1"/>
      <c r="C717" s="1"/>
      <c r="D717" s="1"/>
      <c r="E717" s="2"/>
      <c r="G717" s="1"/>
      <c r="H717" s="1"/>
      <c r="I717" s="1"/>
      <c r="J717" s="1"/>
      <c r="K717" s="2"/>
    </row>
    <row r="735" ht="12.75">
      <c r="D735" s="1"/>
    </row>
    <row r="746" spans="1:10" ht="12.75">
      <c r="A746" s="1"/>
      <c r="B746" s="1"/>
      <c r="C746" s="1"/>
      <c r="D746" s="1"/>
      <c r="E746" s="2"/>
      <c r="F746" s="1"/>
      <c r="G746" s="1"/>
      <c r="H746" s="1"/>
      <c r="I746" s="1"/>
      <c r="J746" s="1"/>
    </row>
    <row r="767" ht="12.75">
      <c r="F767" s="1"/>
    </row>
    <row r="768" spans="1:11" ht="12.75">
      <c r="A768" s="1"/>
      <c r="B768" s="1"/>
      <c r="C768" s="1"/>
      <c r="D768" s="1"/>
      <c r="E768" s="2"/>
      <c r="G768" s="1"/>
      <c r="H768" s="1"/>
      <c r="I768" s="1"/>
      <c r="J768" s="1"/>
      <c r="K768" s="2"/>
    </row>
  </sheetData>
  <mergeCells count="7">
    <mergeCell ref="A39:I39"/>
    <mergeCell ref="M288:Q288"/>
    <mergeCell ref="J335:R335"/>
    <mergeCell ref="M91:Q91"/>
    <mergeCell ref="M141:Q141"/>
    <mergeCell ref="M190:Q190"/>
    <mergeCell ref="M239:Q239"/>
  </mergeCells>
  <printOptions/>
  <pageMargins left="0.75" right="0.75" top="0.55" bottom="0.49" header="0.5" footer="0.5"/>
  <pageSetup fitToWidth="7" orientation="landscape" scale="80" r:id="rId1"/>
  <rowBreaks count="6" manualBreakCount="6">
    <brk id="46" max="255" man="1"/>
    <brk id="88" max="255" man="1"/>
    <brk id="137" max="255" man="1"/>
    <brk id="186" max="255" man="1"/>
    <brk id="235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2010-10-27T22:03:45Z</cp:lastPrinted>
  <dcterms:created xsi:type="dcterms:W3CDTF">2002-12-20T22:52:14Z</dcterms:created>
  <dcterms:modified xsi:type="dcterms:W3CDTF">2011-01-24T19:17:35Z</dcterms:modified>
  <cp:category/>
  <cp:version/>
  <cp:contentType/>
  <cp:contentStatus/>
</cp:coreProperties>
</file>